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Dienvidkurzemes novada pašvaldība\DOMES SĒDES\2022.gads\Nr.10_28.07.2022\"/>
    </mc:Choice>
  </mc:AlternateContent>
  <xr:revisionPtr revIDLastSave="0" documentId="8_{6F739562-C9EE-44A5-998A-484C195105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maksas" sheetId="1" r:id="rId1"/>
    <sheet name="Aizputes pag.psk" sheetId="2" r:id="rId2"/>
    <sheet name="Aizputes vsk" sheetId="3" r:id="rId3"/>
    <sheet name="Durbes psk" sheetId="4" r:id="rId4"/>
    <sheet name="Kalvenes psk" sheetId="5" r:id="rId5"/>
    <sheet name="Krotes psk" sheetId="6" r:id="rId6"/>
    <sheet name="Kazdangas psk" sheetId="7" r:id="rId7"/>
    <sheet name="Nīcas vsk" sheetId="8" r:id="rId8"/>
    <sheet name="Rucavas psk" sheetId="9" r:id="rId9"/>
    <sheet name="Vaiņodes vsk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B39" i="10"/>
  <c r="B36" i="10"/>
  <c r="B35" i="10"/>
  <c r="B34" i="10"/>
  <c r="B33" i="10"/>
  <c r="B32" i="10"/>
  <c r="B31" i="10"/>
  <c r="C27" i="10"/>
  <c r="B26" i="10"/>
  <c r="B24" i="10"/>
  <c r="B21" i="10"/>
  <c r="B22" i="10" s="1"/>
  <c r="C17" i="10"/>
  <c r="C16" i="10"/>
  <c r="C15" i="10"/>
  <c r="C18" i="10" s="1"/>
  <c r="B14" i="10"/>
  <c r="B13" i="10"/>
  <c r="B12" i="10"/>
  <c r="B18" i="10" s="1"/>
  <c r="B11" i="10"/>
  <c r="B37" i="9"/>
  <c r="B34" i="9"/>
  <c r="B33" i="9"/>
  <c r="B32" i="9"/>
  <c r="B31" i="9"/>
  <c r="B30" i="9"/>
  <c r="B29" i="9"/>
  <c r="C25" i="9"/>
  <c r="B24" i="9"/>
  <c r="B22" i="9"/>
  <c r="B19" i="9"/>
  <c r="B20" i="9" s="1"/>
  <c r="C15" i="9"/>
  <c r="C14" i="9"/>
  <c r="C16" i="9" s="1"/>
  <c r="B13" i="9"/>
  <c r="B12" i="9"/>
  <c r="B16" i="9" s="1"/>
  <c r="B11" i="9"/>
  <c r="B42" i="8"/>
  <c r="B50" i="8" s="1"/>
  <c r="B38" i="8"/>
  <c r="B36" i="8"/>
  <c r="B35" i="8"/>
  <c r="B37" i="8" s="1"/>
  <c r="B34" i="8"/>
  <c r="B33" i="8"/>
  <c r="B32" i="8"/>
  <c r="B31" i="8"/>
  <c r="B39" i="8" s="1"/>
  <c r="B30" i="8"/>
  <c r="C26" i="8"/>
  <c r="B25" i="8"/>
  <c r="B23" i="8"/>
  <c r="B20" i="8"/>
  <c r="B21" i="8" s="1"/>
  <c r="C16" i="8"/>
  <c r="C15" i="8"/>
  <c r="C14" i="8"/>
  <c r="C17" i="8" s="1"/>
  <c r="B13" i="8"/>
  <c r="B12" i="8"/>
  <c r="B11" i="8"/>
  <c r="B17" i="8" s="1"/>
  <c r="B38" i="7"/>
  <c r="B35" i="7"/>
  <c r="B34" i="7"/>
  <c r="B33" i="7"/>
  <c r="B32" i="7"/>
  <c r="B31" i="7"/>
  <c r="B30" i="7"/>
  <c r="C27" i="7"/>
  <c r="B26" i="7"/>
  <c r="B24" i="7"/>
  <c r="B21" i="7"/>
  <c r="B22" i="7" s="1"/>
  <c r="C16" i="7"/>
  <c r="C15" i="7"/>
  <c r="C14" i="7"/>
  <c r="C18" i="7" s="1"/>
  <c r="B13" i="7"/>
  <c r="B18" i="7" s="1"/>
  <c r="B12" i="7"/>
  <c r="B11" i="7"/>
  <c r="B36" i="6"/>
  <c r="B33" i="6"/>
  <c r="B34" i="6" s="1"/>
  <c r="B35" i="6" s="1"/>
  <c r="B32" i="6"/>
  <c r="B31" i="6"/>
  <c r="B30" i="6"/>
  <c r="B29" i="6"/>
  <c r="B28" i="6"/>
  <c r="C25" i="6"/>
  <c r="B24" i="6"/>
  <c r="B23" i="6"/>
  <c r="B20" i="6"/>
  <c r="C16" i="6"/>
  <c r="C15" i="6"/>
  <c r="C17" i="6" s="1"/>
  <c r="C14" i="6"/>
  <c r="B13" i="6"/>
  <c r="B17" i="6" s="1"/>
  <c r="B12" i="6"/>
  <c r="B11" i="6"/>
  <c r="U19" i="1"/>
  <c r="S19" i="1"/>
  <c r="R19" i="1"/>
  <c r="Q19" i="1"/>
  <c r="P19" i="1"/>
  <c r="O19" i="1"/>
  <c r="M19" i="1"/>
  <c r="K19" i="1"/>
  <c r="I19" i="1"/>
  <c r="G19" i="1"/>
  <c r="E19" i="1"/>
  <c r="U18" i="1"/>
  <c r="S18" i="1"/>
  <c r="R18" i="1"/>
  <c r="Q18" i="1"/>
  <c r="P18" i="1"/>
  <c r="O18" i="1"/>
  <c r="M18" i="1"/>
  <c r="K18" i="1"/>
  <c r="I18" i="1"/>
  <c r="G18" i="1"/>
  <c r="E18" i="1"/>
  <c r="Z17" i="1"/>
  <c r="U17" i="1"/>
  <c r="S17" i="1"/>
  <c r="R17" i="1"/>
  <c r="Q17" i="1"/>
  <c r="P17" i="1"/>
  <c r="O17" i="1"/>
  <c r="M17" i="1"/>
  <c r="K17" i="1"/>
  <c r="J17" i="1"/>
  <c r="I17" i="1"/>
  <c r="G17" i="1"/>
  <c r="E17" i="1"/>
  <c r="V16" i="1"/>
  <c r="T16" i="1"/>
  <c r="N16" i="1"/>
  <c r="X16" i="1" s="1"/>
  <c r="H16" i="1"/>
  <c r="F16" i="1"/>
  <c r="AA16" i="1" s="1"/>
  <c r="D16" i="1"/>
  <c r="AA15" i="1"/>
  <c r="W15" i="1"/>
  <c r="V15" i="1"/>
  <c r="T15" i="1"/>
  <c r="N15" i="1"/>
  <c r="H15" i="1"/>
  <c r="F15" i="1"/>
  <c r="D15" i="1"/>
  <c r="X15" i="1" s="1"/>
  <c r="V14" i="1"/>
  <c r="T14" i="1"/>
  <c r="N14" i="1"/>
  <c r="W14" i="1" s="1"/>
  <c r="H14" i="1"/>
  <c r="F14" i="1"/>
  <c r="X14" i="1" s="1"/>
  <c r="D14" i="1"/>
  <c r="AA13" i="1"/>
  <c r="W13" i="1"/>
  <c r="V13" i="1"/>
  <c r="T13" i="1"/>
  <c r="N13" i="1"/>
  <c r="H13" i="1"/>
  <c r="F13" i="1"/>
  <c r="X13" i="1" s="1"/>
  <c r="W12" i="1"/>
  <c r="T12" i="1"/>
  <c r="N12" i="1"/>
  <c r="L12" i="1"/>
  <c r="L18" i="1" s="1"/>
  <c r="H12" i="1"/>
  <c r="F12" i="1"/>
  <c r="F17" i="1" s="1"/>
  <c r="AA17" i="1" s="1"/>
  <c r="D12" i="1"/>
  <c r="X12" i="1" s="1"/>
  <c r="AA11" i="1"/>
  <c r="W11" i="1"/>
  <c r="V11" i="1"/>
  <c r="T11" i="1"/>
  <c r="N11" i="1"/>
  <c r="H11" i="1"/>
  <c r="F11" i="1"/>
  <c r="D11" i="1"/>
  <c r="X11" i="1" s="1"/>
  <c r="AA10" i="1"/>
  <c r="V10" i="1"/>
  <c r="T10" i="1"/>
  <c r="N10" i="1"/>
  <c r="W10" i="1" s="1"/>
  <c r="J10" i="1"/>
  <c r="J19" i="1" s="1"/>
  <c r="AA9" i="1"/>
  <c r="W9" i="1"/>
  <c r="V9" i="1"/>
  <c r="T9" i="1"/>
  <c r="N9" i="1"/>
  <c r="H9" i="1"/>
  <c r="H18" i="1" s="1"/>
  <c r="F9" i="1"/>
  <c r="D9" i="1"/>
  <c r="X9" i="1" s="1"/>
  <c r="V8" i="1"/>
  <c r="T8" i="1"/>
  <c r="T18" i="1" s="1"/>
  <c r="N8" i="1"/>
  <c r="N19" i="1" s="1"/>
  <c r="F8" i="1"/>
  <c r="F19" i="1" s="1"/>
  <c r="D8" i="1"/>
  <c r="D18" i="1" s="1"/>
  <c r="B38" i="10" l="1"/>
  <c r="B37" i="6"/>
  <c r="B36" i="9"/>
  <c r="X8" i="1"/>
  <c r="X10" i="1"/>
  <c r="AA12" i="1"/>
  <c r="D17" i="1"/>
  <c r="H17" i="1"/>
  <c r="L17" i="1"/>
  <c r="AA8" i="1"/>
  <c r="V12" i="1"/>
  <c r="AA14" i="1"/>
  <c r="W16" i="1"/>
  <c r="B21" i="6"/>
  <c r="B25" i="6" s="1"/>
  <c r="B39" i="6" s="1"/>
  <c r="B40" i="6" s="1"/>
  <c r="B51" i="8"/>
  <c r="B27" i="10"/>
  <c r="B37" i="10"/>
  <c r="B40" i="10" s="1"/>
  <c r="F18" i="1"/>
  <c r="J18" i="1"/>
  <c r="N18" i="1"/>
  <c r="D19" i="1"/>
  <c r="H19" i="1"/>
  <c r="L19" i="1"/>
  <c r="T19" i="1"/>
  <c r="B26" i="8"/>
  <c r="B52" i="8"/>
  <c r="N17" i="1"/>
  <c r="W8" i="1"/>
  <c r="B27" i="7"/>
  <c r="B36" i="7"/>
  <c r="B49" i="8"/>
  <c r="B53" i="8"/>
  <c r="B25" i="9"/>
  <c r="B35" i="9"/>
  <c r="B38" i="9" s="1"/>
  <c r="T17" i="1"/>
  <c r="B48" i="6" l="1"/>
  <c r="B47" i="6"/>
  <c r="B50" i="6"/>
  <c r="B46" i="6"/>
  <c r="B49" i="6"/>
  <c r="B37" i="7"/>
  <c r="B39" i="7" s="1"/>
  <c r="B41" i="7" s="1"/>
  <c r="B42" i="7" s="1"/>
  <c r="B40" i="9"/>
  <c r="B41" i="9" s="1"/>
  <c r="B42" i="10"/>
  <c r="B43" i="10" s="1"/>
  <c r="B51" i="7" l="1"/>
  <c r="B50" i="7"/>
  <c r="B49" i="7"/>
  <c r="B52" i="7"/>
  <c r="B48" i="7"/>
  <c r="B51" i="10"/>
  <c r="B54" i="10"/>
  <c r="B50" i="10"/>
  <c r="B53" i="10"/>
  <c r="B52" i="10"/>
  <c r="B50" i="9"/>
  <c r="B49" i="9"/>
  <c r="B48" i="9"/>
</calcChain>
</file>

<file path=xl/sharedStrings.xml><?xml version="1.0" encoding="utf-8"?>
<sst xmlns="http://schemas.openxmlformats.org/spreadsheetml/2006/main" count="749" uniqueCount="271">
  <si>
    <t>Aizputes pagasta pamatskola</t>
  </si>
  <si>
    <t>Ata Kronvalda Durbes pamatskola</t>
  </si>
  <si>
    <t>Rucavas pamatskola</t>
  </si>
  <si>
    <t>Vaiņodes vidusskola</t>
  </si>
  <si>
    <r>
      <t>Ēdināšanas pakalpojuma sniedzējs -</t>
    </r>
    <r>
      <rPr>
        <b/>
        <sz val="12"/>
        <rFont val="Arial"/>
        <family val="2"/>
        <charset val="186"/>
      </rPr>
      <t>pašvaldības iestāde Aizputes pagasta pamatskola</t>
    </r>
  </si>
  <si>
    <t>Ēdināšanas pakalpojuma faktisko izmaksu kalkulācija 2022./2023. mācību gadam</t>
  </si>
  <si>
    <t xml:space="preserve">(netiek attiecinātas administrācijas un uzskaites izmaksas)  </t>
  </si>
  <si>
    <t>Plānotais kopējais porciju skaits pusdienām vidēji mēnesī - 1955</t>
  </si>
  <si>
    <t>Tiešās izmaksas</t>
  </si>
  <si>
    <t>EUR</t>
  </si>
  <si>
    <t>Aprēķina skaidrojumi</t>
  </si>
  <si>
    <t>Kopējās</t>
  </si>
  <si>
    <t>PII</t>
  </si>
  <si>
    <t>Produkti porcijām sākumskolai</t>
  </si>
  <si>
    <t>Kalkulēti vienā porcijā 0,86 uz 539 porcijām vidēji mēnesī</t>
  </si>
  <si>
    <t xml:space="preserve">Produkti porcijām pamatskolai </t>
  </si>
  <si>
    <t>Kalkulēti vienā porcijā 0,86 uz 861 porcijām vidēji mēnesī</t>
  </si>
  <si>
    <t>Produkti porcijām skolotājiem</t>
  </si>
  <si>
    <t>Kalkulēti vienā porcijā 0,86 uz 140 porcijām vidēji mēnesī</t>
  </si>
  <si>
    <r>
      <t xml:space="preserve">Produkti </t>
    </r>
    <r>
      <rPr>
        <i/>
        <sz val="11"/>
        <rFont val="Arial"/>
        <family val="2"/>
        <charset val="186"/>
      </rPr>
      <t>brokastu</t>
    </r>
    <r>
      <rPr>
        <sz val="11"/>
        <rFont val="Arial"/>
        <family val="2"/>
        <charset val="186"/>
      </rPr>
      <t xml:space="preserve"> porcijām pirmsskolā PII grupai</t>
    </r>
  </si>
  <si>
    <t>Kalkulēti vienā porcijā 0,35 uz 205 porcijām vidēji mēnesī</t>
  </si>
  <si>
    <r>
      <t xml:space="preserve">Produkti </t>
    </r>
    <r>
      <rPr>
        <i/>
        <sz val="11"/>
        <rFont val="Arial"/>
        <family val="2"/>
        <charset val="186"/>
      </rPr>
      <t>pusdienu</t>
    </r>
    <r>
      <rPr>
        <sz val="11"/>
        <rFont val="Arial"/>
        <family val="2"/>
        <charset val="186"/>
      </rPr>
      <t xml:space="preserve"> porcijām pirmsskolā PII grupai</t>
    </r>
  </si>
  <si>
    <t>Kalkulēti vienā porcijā 0.86 uz 210 porcijām mēnesī vidēji</t>
  </si>
  <si>
    <t>Tiešās izmaksas  kopā EUR</t>
  </si>
  <si>
    <t>Darba algas virtuves darbiniekiem</t>
  </si>
  <si>
    <t xml:space="preserve">1 pavāra un 1 pavāra palīga mēnešalgas </t>
  </si>
  <si>
    <t>Darba devēja VSAOI maksājumi</t>
  </si>
  <si>
    <t>Piemērota likme 23,59%</t>
  </si>
  <si>
    <t>Uzkrājums atvaļinājuma naudas izmaksām</t>
  </si>
  <si>
    <t>T.sk. dienas vidējā izpeļņa koriģēta ar koeficientu 1,67</t>
  </si>
  <si>
    <t>Virtuves pamatlīdzekļu amortizācija</t>
  </si>
  <si>
    <t>Amortizējamas vienības 8</t>
  </si>
  <si>
    <t xml:space="preserve">Virtuves inventārs </t>
  </si>
  <si>
    <t>Galda piederumi</t>
  </si>
  <si>
    <t xml:space="preserve">Saimniecības preces </t>
  </si>
  <si>
    <t>8,42 % no budžetā plānotiem izdevumiem</t>
  </si>
  <si>
    <t>Saimniecības preces</t>
  </si>
  <si>
    <t>8,42 % no tīrīšanas un dezinfekcijas līdzekļi</t>
  </si>
  <si>
    <t>Netiešās izmaksas</t>
  </si>
  <si>
    <t>Apkure (malka)</t>
  </si>
  <si>
    <t>Komunālie pakalpojumi /ūdens, kanalizācija, gruži/</t>
  </si>
  <si>
    <t>Elektrība</t>
  </si>
  <si>
    <t>Apsardze, teritorijas uzkopšana</t>
  </si>
  <si>
    <t>Sakaru pakalpojumi</t>
  </si>
  <si>
    <t xml:space="preserve">Darba alga apkalpojošiem darbiniekiem </t>
  </si>
  <si>
    <t>No uzskaitveža 0.25 likmes attiecināti 10%</t>
  </si>
  <si>
    <t>Uzkrājumi atvaļinājuma naudas izmaksām</t>
  </si>
  <si>
    <t>Ēku amortizācija</t>
  </si>
  <si>
    <t>Netiešās izmaksas kopā EUR</t>
  </si>
  <si>
    <t>Kopējās kalkulētās izmaksas mēnesī bez produktiem EUR</t>
  </si>
  <si>
    <t>Kopējās kalkulētās izmaksas mēnesī bez produktiem  uz vienu porciju EUR</t>
  </si>
  <si>
    <t>Papildus informācija ēku amortizācijas un netiešo izmaksu aprēķinam:</t>
  </si>
  <si>
    <t>Ēkas kopējā platība -1091.4 m2</t>
  </si>
  <si>
    <t>Ēdināšanas  bloka platība - 91.9 m2</t>
  </si>
  <si>
    <t>Vienas brokastu porcijas faktiskās  izmaksas  pirmsskolā EUR</t>
  </si>
  <si>
    <t>t.sk. produktu izmaksas 0,35 EUR</t>
  </si>
  <si>
    <t>Vienas pusdienu porcijas faktiskās  izmaksas  pirmsskolā EUR</t>
  </si>
  <si>
    <t>t.sk. produktu izmaksas 0,86 EUR</t>
  </si>
  <si>
    <t>Vienas pusdienu porcijas faktiskās  izmaksas  pamatskolai EUR</t>
  </si>
  <si>
    <t>Vienas pusdienu porcijas faktiskās  izmaksas skolotājiem EUR</t>
  </si>
  <si>
    <t>Kalkulāciju sagatavoja E.Apine</t>
  </si>
  <si>
    <t>everita.apine@dkn.lv</t>
  </si>
  <si>
    <r>
      <t>Ēdināšanas pakalpojuma sniedzējs -</t>
    </r>
    <r>
      <rPr>
        <b/>
        <sz val="12"/>
        <rFont val="Arial"/>
        <family val="2"/>
        <charset val="186"/>
      </rPr>
      <t>pašvaldības iestāde Aizputes vidusskola</t>
    </r>
  </si>
  <si>
    <t xml:space="preserve">Plānotais kopējais porciju skaits vidēji mēnesī </t>
  </si>
  <si>
    <t>Produkti porcijām pamatskolai un vidusskolai</t>
  </si>
  <si>
    <t>Produkti porcijām darbiniekiem</t>
  </si>
  <si>
    <r>
      <t xml:space="preserve">Produkti </t>
    </r>
    <r>
      <rPr>
        <i/>
        <sz val="11"/>
        <rFont val="Arial"/>
        <family val="2"/>
        <charset val="186"/>
      </rPr>
      <t>launaga</t>
    </r>
    <r>
      <rPr>
        <sz val="11"/>
        <rFont val="Arial"/>
        <family val="2"/>
        <charset val="186"/>
      </rPr>
      <t xml:space="preserve"> porcijām pirmsskolā PII grupai</t>
    </r>
  </si>
  <si>
    <t xml:space="preserve">2 pavāra un 3.75 slodzes pavāra palīgu mēnešalgas </t>
  </si>
  <si>
    <t>4,79 % no budžetā plānotiem izdevumiem</t>
  </si>
  <si>
    <t>4,79 % no tīrīšanas un dezinfekcijas līdzekļi</t>
  </si>
  <si>
    <t>Apkure</t>
  </si>
  <si>
    <t>No ēdin.pak.spec. likmes attiecināti 10%</t>
  </si>
  <si>
    <t>Ēkas kopējā platība -8168 m2</t>
  </si>
  <si>
    <t>Ēdināšanas  bloka platība - 391 m2</t>
  </si>
  <si>
    <t>Vienas brokastu porcijas faktiskās  izmaksas  PII grupiņai EUR</t>
  </si>
  <si>
    <t>t.sk. produktu izmaksas 0,30 EUR</t>
  </si>
  <si>
    <t>Vienas pusdienu porcijas faktiskās  izmaksas  PII grupiņai EUR</t>
  </si>
  <si>
    <t>t.sk. produktu izmaksas 0,80 EUR</t>
  </si>
  <si>
    <t>Vienas launaga porcijas faktiskās  izmaksas  PII grupiņai EUR</t>
  </si>
  <si>
    <t>t.sk. produktu izmaksas 0,40 EUR</t>
  </si>
  <si>
    <t>Vienas pusdienu porcijas faktiskās  izmaksas pamatskolai, vidusskolai, darbiniekiem EUR</t>
  </si>
  <si>
    <t>t.sk. produktu izmaksas 0,85 EUR</t>
  </si>
  <si>
    <t>Vienas pusdienu porcijas faktiskās  izmaksas  sākumskolā EUR</t>
  </si>
  <si>
    <t>2.1.pielikums</t>
  </si>
  <si>
    <t>2.2.pielikums</t>
  </si>
  <si>
    <t>Kalkulēti vienā porcijā 0,80 uz 1950 porcijām vidēji mēnesī</t>
  </si>
  <si>
    <t>Kalkulēti vienā porcijā 0,85 uz 2800 porcijām vidēji mēnesī</t>
  </si>
  <si>
    <t>Kalkulēti vienā porcijā 0,85 uz 500 porcijām vidēji mēnesī</t>
  </si>
  <si>
    <t>Kalkulēti vienā porcijā 0,30 uz 600 porcijām vidēji mēnesī</t>
  </si>
  <si>
    <t>Kalkulēti vienā porcijā 0,80 uz 960 porcijām mēnesī vidēji</t>
  </si>
  <si>
    <t>Kalkulēti vienā porcijā 0,4 uz 600 porcijām vidēji mēnesī</t>
  </si>
  <si>
    <r>
      <t>Ēdināšanas pakalpojuma sniedzējs -</t>
    </r>
    <r>
      <rPr>
        <b/>
        <sz val="12"/>
        <rFont val="Arial"/>
        <family val="2"/>
        <charset val="186"/>
      </rPr>
      <t>pašvaldības iestāde Ata Kronvalda Durbes pamatskola</t>
    </r>
  </si>
  <si>
    <t xml:space="preserve">Plānotais kopējais porciju skaits vidēji mēnesī - </t>
  </si>
  <si>
    <r>
      <t xml:space="preserve">Kalkulēti vienā porcijā 0,76 uz </t>
    </r>
    <r>
      <rPr>
        <i/>
        <sz val="10"/>
        <color rgb="FF000000"/>
        <rFont val="Arial"/>
        <family val="2"/>
        <charset val="186"/>
      </rPr>
      <t>1723</t>
    </r>
    <r>
      <rPr>
        <i/>
        <sz val="10"/>
        <rFont val="Arial"/>
        <family val="2"/>
        <charset val="186"/>
      </rPr>
      <t xml:space="preserve"> porcijām vidēji mēnesī</t>
    </r>
  </si>
  <si>
    <t>Produkti porcijām pamatskolai</t>
  </si>
  <si>
    <r>
      <t xml:space="preserve">Kalkulēti vienā porcijā 0,76 uz </t>
    </r>
    <r>
      <rPr>
        <i/>
        <sz val="10"/>
        <color rgb="FF000000"/>
        <rFont val="Arial"/>
        <family val="2"/>
        <charset val="186"/>
      </rPr>
      <t>601</t>
    </r>
    <r>
      <rPr>
        <i/>
        <sz val="10"/>
        <rFont val="Arial"/>
        <family val="2"/>
        <charset val="186"/>
      </rPr>
      <t xml:space="preserve"> porcijām vidēji mēnesī</t>
    </r>
  </si>
  <si>
    <r>
      <t xml:space="preserve">Kalkulēti vienā porcijā 0,76 uz </t>
    </r>
    <r>
      <rPr>
        <i/>
        <sz val="10"/>
        <color rgb="FF000000"/>
        <rFont val="Arial"/>
        <family val="2"/>
        <charset val="186"/>
      </rPr>
      <t>273</t>
    </r>
    <r>
      <rPr>
        <i/>
        <sz val="10"/>
        <rFont val="Arial"/>
        <family val="2"/>
        <charset val="186"/>
      </rPr>
      <t xml:space="preserve"> porcijām vidēji mēnesī</t>
    </r>
  </si>
  <si>
    <t>Kalkulēti vienā porcijā 0,41 uz 982 porcijām vidēji mēnesī</t>
  </si>
  <si>
    <t>Kalkulēti vienā porcijā 0.76 uz 1495 porcijām mēnesī vidēji</t>
  </si>
  <si>
    <t>Kalkulēti vienā porcijā 0,75 uz 790 porcijām vidēji mēnesī</t>
  </si>
  <si>
    <t xml:space="preserve">2 pavāra un 2 pavāra palīgu mēnešalgas </t>
  </si>
  <si>
    <t>Amortizējamas vienības 10</t>
  </si>
  <si>
    <t>5,34 % no tīrīšanas un dezinfekcijas līdzekļi</t>
  </si>
  <si>
    <t>5,34 % no budžetā plānotiem izdevumiem</t>
  </si>
  <si>
    <t>No medmāsas likmes attiecināti 10%</t>
  </si>
  <si>
    <t>Ēkas kopējā platība -4815 m2</t>
  </si>
  <si>
    <t>Ēdināšanas  bloka platība - 257.3 m2</t>
  </si>
  <si>
    <t>t.sk. produktu izmaksas 0,41 EUR</t>
  </si>
  <si>
    <t>t.sk. produktu izmaksas 0,76EUR</t>
  </si>
  <si>
    <t>t.sk. produktu izmaksas 0,75 EUR</t>
  </si>
  <si>
    <t>t.sk. produktu izmaksas 0,76 EUR</t>
  </si>
  <si>
    <t>Vienas pusdienu porcijas faktiskās  izmaksas  pamatskolai, darbiniekiem EUR</t>
  </si>
  <si>
    <t>2.3.pielikums</t>
  </si>
  <si>
    <r>
      <t>Ēdināšanas pakalpojuma sniedzējs -</t>
    </r>
    <r>
      <rPr>
        <b/>
        <sz val="12"/>
        <rFont val="Arial"/>
        <family val="2"/>
        <charset val="186"/>
      </rPr>
      <t>pašvaldības iestāde Kalvenes pamatskola</t>
    </r>
  </si>
  <si>
    <t>Plānotais kopējais porciju skaits pusdienām vidēji mēnesī - 1516</t>
  </si>
  <si>
    <t>Kalkulēti vienā porcijā 0,82 uz 407 porcijām vidēji mēnesī</t>
  </si>
  <si>
    <t>Kalkulēti vienā porcijā 0,82 uz 426 porcijām vidēji mēnesī</t>
  </si>
  <si>
    <t>Kalkulēti vienā porcijā 0,82 uz 70 porcijām vidēji mēnesī</t>
  </si>
  <si>
    <r>
      <t xml:space="preserve">Produkti </t>
    </r>
    <r>
      <rPr>
        <i/>
        <sz val="11"/>
        <rFont val="Arial"/>
        <family val="2"/>
        <charset val="186"/>
      </rPr>
      <t>brokastu</t>
    </r>
    <r>
      <rPr>
        <sz val="11"/>
        <rFont val="Arial"/>
        <family val="2"/>
        <charset val="186"/>
      </rPr>
      <t xml:space="preserve"> porcijām pirmsskolā, sākumskolā, pamatskolā</t>
    </r>
  </si>
  <si>
    <t>Kalkulēti vienā porcijā 0,30 uz 433 porcijām vidēji mēnesī</t>
  </si>
  <si>
    <t>Kalkulēti vienā porcijā 0.82 uz 180 porcijām mēnesī vidēji</t>
  </si>
  <si>
    <t xml:space="preserve">1 pavāra un 1 virtuves darb. mēnešalgas </t>
  </si>
  <si>
    <t>Amortizējamas vienības 7</t>
  </si>
  <si>
    <t>15,86 % no budžetā plānotiem izdevumiem</t>
  </si>
  <si>
    <t>15,86 % no tīrīšanas un dezinfekcijas līdzekļi</t>
  </si>
  <si>
    <t>No lietvedes 0,5 likmes attiecināti 10%</t>
  </si>
  <si>
    <t>Ēkas kopējā platība -1779.45 m2</t>
  </si>
  <si>
    <t>Ēdināšanas  bloka platība - 282.3 m2</t>
  </si>
  <si>
    <t>Vienas brokastu porcijas faktiskās  izmaksas EUR</t>
  </si>
  <si>
    <t>Vienas pusdienu porcijas faktiskās  izmaksas  sākumskolai EUR</t>
  </si>
  <si>
    <t>t.sk. produktu izmaksas 0,82 EUR</t>
  </si>
  <si>
    <t>Vienas pusdienu porcijas faktiskās  izmaksas  pamatskolai, skolotājiem EUR</t>
  </si>
  <si>
    <t>Vienas pusdienu porcijas faktiskās  izmaksas PII grupiņai EUR</t>
  </si>
  <si>
    <t>2.4.pielikums</t>
  </si>
  <si>
    <r>
      <t>Ēdināšanas pakalpojuma sniedzējs -</t>
    </r>
    <r>
      <rPr>
        <b/>
        <sz val="12"/>
        <rFont val="Arial"/>
        <family val="2"/>
        <charset val="186"/>
      </rPr>
      <t>pašvaldības iestāde Krotes Kronvalda Ata pamatskola</t>
    </r>
  </si>
  <si>
    <t>Plānotais kopējais porciju skaits pusdienām vidēji mēnesī - 3368</t>
  </si>
  <si>
    <t>Kalkulēti vienā porcijā 0,61 uz 701 porcijām vidēji mēnesī</t>
  </si>
  <si>
    <t>Kalkulēti vienā porcijā 0,61 uz 809 porcijām vidēji mēnesī</t>
  </si>
  <si>
    <t>Kalkulēti vienā porcijā 0,61 uz 200 porcijām vidēji mēnesī</t>
  </si>
  <si>
    <t>Kalkulēti vienā porcijā 0,33 uz 541 porcijām vidēji mēnesī</t>
  </si>
  <si>
    <t>Kalkulēti vienā porcijā 0.61 uz 603 porcijām mēnesī vidēji</t>
  </si>
  <si>
    <t>Kalkulēti vienā porcijā 0,44 uz 514 porcijām vidēji mēnesī</t>
  </si>
  <si>
    <t>Amortizējamas vienības 2</t>
  </si>
  <si>
    <t>8,17 % no tīrīšanas un dezinfekcijas līdzekļi</t>
  </si>
  <si>
    <t>8,17 % no budžetā plānotiem izdevumiem</t>
  </si>
  <si>
    <t>No lietvedes 0,9 likmes attiecināti 10%</t>
  </si>
  <si>
    <t>Ēkas kopējā platība -1897 m2</t>
  </si>
  <si>
    <t>Ēdināšanas  bloka platība - 155 m2</t>
  </si>
  <si>
    <t>t.sk. produktu izmaksas 0,33 EUR</t>
  </si>
  <si>
    <t>t.sk. produktu izmaksas 0,61 EUR</t>
  </si>
  <si>
    <t>t.sk. produktu izmaksas 0,44 EUR</t>
  </si>
  <si>
    <r>
      <t>Ēdināšanas pakalpojuma sniedzējs -</t>
    </r>
    <r>
      <rPr>
        <b/>
        <sz val="12"/>
        <rFont val="Arial"/>
        <family val="2"/>
        <charset val="186"/>
      </rPr>
      <t>pašvaldības iestāde Māteru Jura Kazdangas pamatskola</t>
    </r>
  </si>
  <si>
    <t>Plānotais kopējais porciju skaits pusdienām vidēji mēnesī - 5184</t>
  </si>
  <si>
    <t>Kalkulēti vienā porcijā 0,88 uz 1078 porcijām vidēji mēnesī</t>
  </si>
  <si>
    <t>Kalkulēti vienā porcijā 0,88 uz 1584 porcijām vidēji mēnesī</t>
  </si>
  <si>
    <t>Kalkulēti vienā porcijā 0,88 uz 80 porcijām vidēji mēnesī</t>
  </si>
  <si>
    <t>Kalkulēti vienā porcijā 0,37 uz 814 porcijām vidēji mēnesī</t>
  </si>
  <si>
    <t>Kalkulēti vienā porcijā 0.88 uz 814 porcijām mēnesī vidēji</t>
  </si>
  <si>
    <t>Kalkulēti vienā porcijā 0,38 uz 814 porcijām vidēji mēnesī</t>
  </si>
  <si>
    <t xml:space="preserve">1 pavāra, 1 pavāra palīga, 1 virtuves darb. mēnešalgas </t>
  </si>
  <si>
    <t>Amortizējamas vienības 3</t>
  </si>
  <si>
    <t>2,24 % no budžetā plānotiem izdevumiem</t>
  </si>
  <si>
    <t>2,24 % no tīrīšanas un dezinfekcijas līdzekļi</t>
  </si>
  <si>
    <t>No ēdināšanas pakalp.spec. likmes attiecināti 10%</t>
  </si>
  <si>
    <t>Ēkas kopējā platība -2455 m2</t>
  </si>
  <si>
    <t>Ēdināšanas  bloka platība - 55 m2</t>
  </si>
  <si>
    <t>t.sk. produktu izmaksas 0,37 EUR</t>
  </si>
  <si>
    <t>t.sk. produktu izmaksas 0,88 EUR</t>
  </si>
  <si>
    <t>t.sk. produktu izmaksas 0,38 EUR</t>
  </si>
  <si>
    <t>2.5.pielikums</t>
  </si>
  <si>
    <t>2.6.pielikums</t>
  </si>
  <si>
    <r>
      <t>Ēdināšanas pakalpojuma sniedzējs -</t>
    </r>
    <r>
      <rPr>
        <b/>
        <sz val="12"/>
        <rFont val="Arial"/>
        <family val="2"/>
        <charset val="186"/>
      </rPr>
      <t>pašvaldības iestāde Nīcas vidusskola</t>
    </r>
  </si>
  <si>
    <t>Plānotais kopējais porciju skaits  vidēji mēnesī</t>
  </si>
  <si>
    <t>Kalkulēti vienā porcijā 0,77uz 1640 porcijām vidēji mēnesī</t>
  </si>
  <si>
    <t>Kalkulēti vienā porcijā 0,77 uz 2219 porcijām vidēji mēnesī</t>
  </si>
  <si>
    <r>
      <t xml:space="preserve">Kalkulēti vienā porcijā 0,90 uz </t>
    </r>
    <r>
      <rPr>
        <i/>
        <sz val="10"/>
        <color theme="1"/>
        <rFont val="Arial"/>
        <family val="2"/>
        <charset val="186"/>
      </rPr>
      <t>353</t>
    </r>
    <r>
      <rPr>
        <i/>
        <sz val="10"/>
        <rFont val="Arial"/>
        <family val="2"/>
        <charset val="186"/>
      </rPr>
      <t xml:space="preserve"> porcijām vidēji mēnesī</t>
    </r>
  </si>
  <si>
    <t>Kalkulēti vienā porcijā 0,46 uz 938 porcijām mēnesī vidēji</t>
  </si>
  <si>
    <t>Kalkulēti vienā porcijā 0,76 uz 2033 porcijām mēnesī vidēji</t>
  </si>
  <si>
    <t>Kalkulēti vienā porcijā 0,24 uz 1603 porcijām mēnesī vidēji</t>
  </si>
  <si>
    <t xml:space="preserve">1 šefpavāra, 2 pavāra, 1 virtuves darb. mēnešalgas </t>
  </si>
  <si>
    <t>5,47 % no budžetā plānotiem izdevumiem</t>
  </si>
  <si>
    <t>5,47 % no tīrīšanas un dezinfekcijas līdzekļi</t>
  </si>
  <si>
    <t>Ēkas kopējā platība -4755 m2</t>
  </si>
  <si>
    <t>Ēdināšanas  bloka platība - 260.1 m2</t>
  </si>
  <si>
    <t>t.sk. produktu izmaksas 0,46 EUR</t>
  </si>
  <si>
    <t>t.sk. produktu izmaksas 0,24 EUR</t>
  </si>
  <si>
    <t>Vienas pusdienu porcijas faktiskās  izmaksas  sākumskolai, pamatskolai, vidusskolai EUR</t>
  </si>
  <si>
    <t>t.sk. produktu izmaksas 0,77 EUR</t>
  </si>
  <si>
    <t>Vienas pusdienu porcijas faktiskās  izmaksas  skolotājiem EUR</t>
  </si>
  <si>
    <t>t.sk. produktu izmaksas 0,90 EUR</t>
  </si>
  <si>
    <t>2.7.pielikums</t>
  </si>
  <si>
    <r>
      <t>Ēdināšanas pakalpojuma sniedzējs -</t>
    </r>
    <r>
      <rPr>
        <b/>
        <sz val="12"/>
        <rFont val="Arial"/>
        <family val="2"/>
        <charset val="186"/>
      </rPr>
      <t>pašvaldības iestāde Rucavas pamatskola</t>
    </r>
  </si>
  <si>
    <t>Plānotais kopējais porciju skaits pusdienām vidēji mēnesī - 3452</t>
  </si>
  <si>
    <t>Kalkulēti vienā porcijā 1,36 uz 520 porcijām vidēji mēnesī</t>
  </si>
  <si>
    <t>Kalkulēti vienā porcijā 1,36 uz 620 porcijām vidēji mēnesī</t>
  </si>
  <si>
    <t>Kalkulēti vienā porcijā 1,36 uz 260 porcijām vidēji mēnesī</t>
  </si>
  <si>
    <r>
      <t>Produkti</t>
    </r>
    <r>
      <rPr>
        <i/>
        <sz val="11"/>
        <rFont val="Arial"/>
        <family val="2"/>
        <charset val="186"/>
      </rPr>
      <t xml:space="preserve"> pusdienu</t>
    </r>
    <r>
      <rPr>
        <sz val="11"/>
        <rFont val="Arial"/>
        <family val="2"/>
        <charset val="186"/>
      </rPr>
      <t xml:space="preserve"> porcijām pirmsskolā PII grupai</t>
    </r>
  </si>
  <si>
    <t>Kalkulēti vienā porcijā 1,36 uz 1140 porcijām mēnesī vidēji</t>
  </si>
  <si>
    <r>
      <t>Produkti</t>
    </r>
    <r>
      <rPr>
        <i/>
        <sz val="11"/>
        <rFont val="Arial"/>
        <family val="2"/>
        <charset val="186"/>
      </rPr>
      <t xml:space="preserve"> launaga</t>
    </r>
    <r>
      <rPr>
        <sz val="11"/>
        <rFont val="Arial"/>
        <family val="2"/>
        <charset val="186"/>
      </rPr>
      <t xml:space="preserve"> porcijām pirmsskolā PII grupai</t>
    </r>
  </si>
  <si>
    <t>Kalkulēti vienā porcijā 0,58 uz 912 porcijām mēnesī vidēji</t>
  </si>
  <si>
    <t>1 pavāra mēnešalga</t>
  </si>
  <si>
    <t>Amortizējamas vienības 6</t>
  </si>
  <si>
    <t>8,31 % no budžetā plānotiem izdevumiem</t>
  </si>
  <si>
    <t>8,31 % no tīrīšanas un dezinfekcijas līdzekļi</t>
  </si>
  <si>
    <t>No ēdnīcas vadītājas likmes attiecināti 10%</t>
  </si>
  <si>
    <t>Ēkas kopējā platība -1640 m2</t>
  </si>
  <si>
    <t>Ēdināšanas  bloka platība - 136.4 m2</t>
  </si>
  <si>
    <t>t.sk. produktu izmaksas 1,36 EUR</t>
  </si>
  <si>
    <t>t.sk. produktu izmaksas 0,58 EUR</t>
  </si>
  <si>
    <t>2.8.pielikums</t>
  </si>
  <si>
    <t>Vienas pusdienu porcijas faktiskās  izmaksas  PII grupiņai, sākumskolai EUR</t>
  </si>
  <si>
    <t>Vienas launaga porcijas faktiskās  izmaksas PII grupiņai EUR</t>
  </si>
  <si>
    <r>
      <t>Ēdināšanas pakalpojuma sniedzējs -</t>
    </r>
    <r>
      <rPr>
        <b/>
        <sz val="12"/>
        <rFont val="Arial"/>
        <family val="2"/>
        <charset val="186"/>
      </rPr>
      <t>pašvaldības iestāde Vaiņodes vidusskola</t>
    </r>
  </si>
  <si>
    <t>Plānotais kopējais porciju skaits pusdienām vidēji mēnesī - 4157</t>
  </si>
  <si>
    <t>Kalkulēti vienā porcijā 0,98 uz 1068 porcijām vidēji mēnesī</t>
  </si>
  <si>
    <t>Kalkulēti vienā porcijā 0,98 uz 1646 porcijām vidēji mēnesī</t>
  </si>
  <si>
    <t>Produkti porcijām vidusskolai</t>
  </si>
  <si>
    <t>Kalkulēti vienā porcijā 0,98 uz 298 porcijām vidēji mēnesī</t>
  </si>
  <si>
    <t>Kalkulēti vienā porcijā 0,98 uz 206 porcijām vidēji mēnesī</t>
  </si>
  <si>
    <r>
      <t xml:space="preserve">Kalkulēti vienā porcijā 0,33 uz </t>
    </r>
    <r>
      <rPr>
        <i/>
        <sz val="10"/>
        <color theme="1"/>
        <rFont val="Arial"/>
        <family val="2"/>
        <charset val="186"/>
      </rPr>
      <t>313</t>
    </r>
    <r>
      <rPr>
        <i/>
        <sz val="10"/>
        <rFont val="Arial"/>
        <family val="2"/>
        <charset val="186"/>
      </rPr>
      <t xml:space="preserve"> porcijām mēnesī vidēji</t>
    </r>
  </si>
  <si>
    <r>
      <t xml:space="preserve">Kalkulēti vienā porcijā 0,74 uz </t>
    </r>
    <r>
      <rPr>
        <i/>
        <sz val="10"/>
        <color theme="1"/>
        <rFont val="Arial"/>
        <family val="2"/>
        <charset val="186"/>
      </rPr>
      <t>313</t>
    </r>
    <r>
      <rPr>
        <i/>
        <sz val="10"/>
        <rFont val="Arial"/>
        <family val="2"/>
        <charset val="186"/>
      </rPr>
      <t xml:space="preserve"> porcijām mēnesī vidēji</t>
    </r>
  </si>
  <si>
    <r>
      <t xml:space="preserve">Produkti launaga </t>
    </r>
    <r>
      <rPr>
        <i/>
        <sz val="11"/>
        <rFont val="Arial"/>
        <family val="2"/>
        <charset val="186"/>
      </rPr>
      <t>porcijām</t>
    </r>
    <r>
      <rPr>
        <sz val="11"/>
        <rFont val="Arial"/>
        <family val="2"/>
        <charset val="186"/>
      </rPr>
      <t xml:space="preserve"> pirmsskolā PII grupai</t>
    </r>
  </si>
  <si>
    <r>
      <t xml:space="preserve">Kalkulēti vienā porcijā 0,47 uz </t>
    </r>
    <r>
      <rPr>
        <i/>
        <sz val="10"/>
        <color theme="1"/>
        <rFont val="Arial"/>
        <family val="2"/>
        <charset val="186"/>
      </rPr>
      <t>313</t>
    </r>
    <r>
      <rPr>
        <i/>
        <sz val="10"/>
        <rFont val="Arial"/>
        <family val="2"/>
        <charset val="186"/>
      </rPr>
      <t xml:space="preserve"> porcijām mēnesī vidēji</t>
    </r>
  </si>
  <si>
    <t xml:space="preserve">1 pavāra, 1 pavāra palīga, 2 virtuves darb. mēnešalgas </t>
  </si>
  <si>
    <t>0,91 % no budžetā plānotiem izdevumiem</t>
  </si>
  <si>
    <t>0,91 % no tīrīšanas un dezinfekcijas līdzekļi</t>
  </si>
  <si>
    <t>No uzskaitveža likmes attiecināti 10%</t>
  </si>
  <si>
    <t>t.sk. produktu izmaksas 0,74 EUR</t>
  </si>
  <si>
    <t>t.sk. produktu izmaksas 0,47 EUR</t>
  </si>
  <si>
    <t>Vienas pusdienu porcijas faktiskās  izmaksas sākumskolai, pamatskolai, vidusskolai EUR</t>
  </si>
  <si>
    <t>t.sk. produktu izmaksas 0,98 EUR</t>
  </si>
  <si>
    <t>2.9.pielikums</t>
  </si>
  <si>
    <t>Ēdināšanas  bloka platība - 25.5 m2</t>
  </si>
  <si>
    <t>Ēkas kopējā platība -2798.8 m2</t>
  </si>
  <si>
    <t>Pielikums Nr.1</t>
  </si>
  <si>
    <t>Nr. p. k.</t>
  </si>
  <si>
    <t>Vispārējās izglītības iestāde</t>
  </si>
  <si>
    <t>Vienas porcijas izmaksas pirmsskolas grupai EUR</t>
  </si>
  <si>
    <t>Vienas porcijas izmaksas sākumskolā EUR</t>
  </si>
  <si>
    <t>Vienas porcijas izmaksas  pamatskolā un vidusskolā EUR</t>
  </si>
  <si>
    <t>Vienas porcijas izmaksas  darbiniekiem EUR</t>
  </si>
  <si>
    <t xml:space="preserve">Plānotā mērķdotācija mēnesī </t>
  </si>
  <si>
    <t>Pašvaldības brīvpus- dienas 5.,6.klase</t>
  </si>
  <si>
    <t>Saņemā summa mēnesī</t>
  </si>
  <si>
    <t>Kopā</t>
  </si>
  <si>
    <t>Pieaugums</t>
  </si>
  <si>
    <t>brokastis</t>
  </si>
  <si>
    <t>porcijas mēnesī</t>
  </si>
  <si>
    <t>pusdienas</t>
  </si>
  <si>
    <t>launags</t>
  </si>
  <si>
    <t xml:space="preserve">vakariņas </t>
  </si>
  <si>
    <t>1</t>
  </si>
  <si>
    <t>2</t>
  </si>
  <si>
    <t>3</t>
  </si>
  <si>
    <t>Kalvenes pagasta pamatskola</t>
  </si>
  <si>
    <t>4</t>
  </si>
  <si>
    <t>Krotes  Kronvalda Ata pamatskola</t>
  </si>
  <si>
    <t>5</t>
  </si>
  <si>
    <t>Jura Mātera Kazdangas pamatskola</t>
  </si>
  <si>
    <t>6</t>
  </si>
  <si>
    <t>7</t>
  </si>
  <si>
    <t xml:space="preserve">Aizputes vidusskola  </t>
  </si>
  <si>
    <t>8</t>
  </si>
  <si>
    <t xml:space="preserve">Nīcas vidusskola </t>
  </si>
  <si>
    <t>9</t>
  </si>
  <si>
    <t>Faktiskās vidējās izmaksas</t>
  </si>
  <si>
    <t>MIN</t>
  </si>
  <si>
    <t>MAX</t>
  </si>
  <si>
    <t>Patreizējā pusdienu maksa</t>
  </si>
  <si>
    <r>
      <t xml:space="preserve">Dienvidkurzemes novada pašvaldības vispārējās izglītības  iestāžu ēdināšanas izmaksas  </t>
    </r>
    <r>
      <rPr>
        <u/>
        <sz val="9"/>
        <color theme="1"/>
        <rFont val="Arial"/>
        <family val="2"/>
        <charset val="186"/>
      </rPr>
      <t>pirmsskolas grupām</t>
    </r>
    <r>
      <rPr>
        <sz val="9"/>
        <color theme="1"/>
        <rFont val="Arial"/>
        <family val="2"/>
        <charset val="186"/>
      </rPr>
      <t xml:space="preserve"> 2022./ 2023. mācību gadam</t>
    </r>
  </si>
  <si>
    <t>2.pielikums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</si>
</sst>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3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i/>
      <sz val="11"/>
      <name val="Arial"/>
      <family val="2"/>
      <charset val="186"/>
    </font>
    <font>
      <b/>
      <sz val="10"/>
      <name val="Arial"/>
      <family val="2"/>
      <charset val="186"/>
    </font>
    <font>
      <sz val="11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b/>
      <u/>
      <sz val="12"/>
      <name val="Arial"/>
      <family val="2"/>
      <charset val="186"/>
    </font>
    <font>
      <i/>
      <sz val="12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i/>
      <sz val="10"/>
      <color theme="1"/>
      <name val="Arial"/>
      <family val="2"/>
      <charset val="186"/>
    </font>
    <font>
      <b/>
      <u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u/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32" fillId="0" borderId="0" applyFont="0" applyFill="0" applyBorder="0" applyAlignment="0" applyProtection="0"/>
  </cellStyleXfs>
  <cellXfs count="123">
    <xf numFmtId="0" fontId="0" fillId="0" borderId="0" xfId="0"/>
    <xf numFmtId="0" fontId="22" fillId="0" borderId="5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9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5" fillId="0" borderId="2" xfId="0" applyFont="1" applyBorder="1"/>
    <xf numFmtId="0" fontId="3" fillId="0" borderId="2" xfId="0" applyFont="1" applyBorder="1"/>
    <xf numFmtId="0" fontId="13" fillId="0" borderId="1" xfId="0" applyFont="1" applyBorder="1"/>
    <xf numFmtId="0" fontId="13" fillId="0" borderId="0" xfId="0" applyFont="1"/>
    <xf numFmtId="0" fontId="14" fillId="0" borderId="0" xfId="0" applyFont="1"/>
    <xf numFmtId="0" fontId="13" fillId="0" borderId="3" xfId="0" applyFont="1" applyBorder="1"/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5" fillId="0" borderId="0" xfId="1"/>
    <xf numFmtId="0" fontId="16" fillId="0" borderId="1" xfId="0" applyFont="1" applyBorder="1"/>
    <xf numFmtId="0" fontId="16" fillId="0" borderId="2" xfId="0" applyFont="1" applyBorder="1"/>
    <xf numFmtId="164" fontId="13" fillId="0" borderId="1" xfId="0" applyNumberFormat="1" applyFont="1" applyBorder="1"/>
    <xf numFmtId="2" fontId="13" fillId="0" borderId="1" xfId="0" applyNumberFormat="1" applyFont="1" applyBorder="1"/>
    <xf numFmtId="2" fontId="9" fillId="0" borderId="1" xfId="0" applyNumberFormat="1" applyFont="1" applyBorder="1"/>
    <xf numFmtId="0" fontId="6" fillId="0" borderId="0" xfId="0" applyFont="1" applyAlignment="1">
      <alignment horizontal="right"/>
    </xf>
    <xf numFmtId="0" fontId="17" fillId="0" borderId="0" xfId="0" applyFont="1"/>
    <xf numFmtId="2" fontId="3" fillId="0" borderId="0" xfId="0" applyNumberFormat="1" applyFont="1"/>
    <xf numFmtId="2" fontId="16" fillId="0" borderId="1" xfId="0" applyNumberFormat="1" applyFont="1" applyBorder="1"/>
    <xf numFmtId="0" fontId="18" fillId="0" borderId="1" xfId="0" applyFont="1" applyBorder="1"/>
    <xf numFmtId="2" fontId="7" fillId="0" borderId="1" xfId="0" applyNumberFormat="1" applyFont="1" applyBorder="1"/>
    <xf numFmtId="0" fontId="6" fillId="0" borderId="3" xfId="0" applyFont="1" applyBorder="1"/>
    <xf numFmtId="0" fontId="5" fillId="0" borderId="3" xfId="0" applyFont="1" applyBorder="1"/>
    <xf numFmtId="0" fontId="7" fillId="0" borderId="3" xfId="0" applyFont="1" applyBorder="1"/>
    <xf numFmtId="2" fontId="16" fillId="0" borderId="2" xfId="0" applyNumberFormat="1" applyFont="1" applyBorder="1"/>
    <xf numFmtId="2" fontId="19" fillId="0" borderId="1" xfId="0" applyNumberFormat="1" applyFont="1" applyBorder="1"/>
    <xf numFmtId="0" fontId="5" fillId="0" borderId="1" xfId="0" applyFont="1" applyBorder="1" applyAlignment="1">
      <alignment wrapText="1"/>
    </xf>
    <xf numFmtId="2" fontId="7" fillId="0" borderId="0" xfId="0" applyNumberFormat="1" applyFont="1"/>
    <xf numFmtId="0" fontId="9" fillId="0" borderId="0" xfId="0" applyFont="1" applyBorder="1"/>
    <xf numFmtId="0" fontId="6" fillId="0" borderId="0" xfId="0" applyFont="1" applyBorder="1"/>
    <xf numFmtId="0" fontId="20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 applyBorder="1"/>
    <xf numFmtId="0" fontId="13" fillId="0" borderId="0" xfId="0" applyFont="1" applyBorder="1"/>
    <xf numFmtId="0" fontId="4" fillId="0" borderId="0" xfId="0" applyFont="1" applyBorder="1"/>
    <xf numFmtId="0" fontId="13" fillId="0" borderId="3" xfId="0" applyFont="1" applyFill="1" applyBorder="1"/>
    <xf numFmtId="2" fontId="4" fillId="0" borderId="0" xfId="0" applyNumberFormat="1" applyFont="1" applyBorder="1"/>
    <xf numFmtId="0" fontId="3" fillId="0" borderId="4" xfId="0" applyFont="1" applyBorder="1"/>
    <xf numFmtId="0" fontId="6" fillId="0" borderId="5" xfId="0" applyFont="1" applyBorder="1"/>
    <xf numFmtId="0" fontId="21" fillId="0" borderId="0" xfId="0" applyFont="1"/>
    <xf numFmtId="0" fontId="3" fillId="0" borderId="0" xfId="0" applyFont="1" applyBorder="1"/>
    <xf numFmtId="2" fontId="9" fillId="0" borderId="0" xfId="0" applyNumberFormat="1" applyFont="1" applyBorder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4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2" borderId="1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4" fillId="0" borderId="1" xfId="0" applyFont="1" applyBorder="1" applyAlignment="1">
      <alignment wrapText="1"/>
    </xf>
    <xf numFmtId="0" fontId="22" fillId="4" borderId="1" xfId="0" applyFont="1" applyFill="1" applyBorder="1"/>
    <xf numFmtId="0" fontId="24" fillId="4" borderId="1" xfId="0" applyFont="1" applyFill="1" applyBorder="1" applyAlignment="1">
      <alignment wrapText="1"/>
    </xf>
    <xf numFmtId="0" fontId="22" fillId="0" borderId="5" xfId="0" applyFont="1" applyBorder="1"/>
    <xf numFmtId="0" fontId="24" fillId="0" borderId="4" xfId="0" applyFont="1" applyBorder="1" applyAlignment="1">
      <alignment wrapText="1"/>
    </xf>
    <xf numFmtId="0" fontId="24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9" fontId="22" fillId="0" borderId="1" xfId="0" applyNumberFormat="1" applyFont="1" applyBorder="1"/>
    <xf numFmtId="2" fontId="23" fillId="0" borderId="1" xfId="0" applyNumberFormat="1" applyFont="1" applyBorder="1"/>
    <xf numFmtId="1" fontId="24" fillId="0" borderId="1" xfId="0" applyNumberFormat="1" applyFont="1" applyBorder="1"/>
    <xf numFmtId="2" fontId="24" fillId="0" borderId="1" xfId="0" applyNumberFormat="1" applyFont="1" applyBorder="1"/>
    <xf numFmtId="2" fontId="22" fillId="0" borderId="1" xfId="0" applyNumberFormat="1" applyFont="1" applyBorder="1"/>
    <xf numFmtId="2" fontId="23" fillId="4" borderId="1" xfId="0" applyNumberFormat="1" applyFont="1" applyFill="1" applyBorder="1"/>
    <xf numFmtId="1" fontId="24" fillId="4" borderId="1" xfId="0" applyNumberFormat="1" applyFont="1" applyFill="1" applyBorder="1"/>
    <xf numFmtId="1" fontId="24" fillId="0" borderId="4" xfId="0" applyNumberFormat="1" applyFont="1" applyBorder="1"/>
    <xf numFmtId="1" fontId="22" fillId="0" borderId="1" xfId="0" applyNumberFormat="1" applyFont="1" applyBorder="1"/>
    <xf numFmtId="2" fontId="23" fillId="0" borderId="1" xfId="0" applyNumberFormat="1" applyFont="1" applyBorder="1" applyAlignment="1">
      <alignment horizontal="center"/>
    </xf>
    <xf numFmtId="9" fontId="22" fillId="0" borderId="1" xfId="2" applyFont="1" applyBorder="1" applyAlignment="1">
      <alignment horizontal="center"/>
    </xf>
    <xf numFmtId="0" fontId="24" fillId="0" borderId="1" xfId="0" applyFont="1" applyBorder="1"/>
    <xf numFmtId="0" fontId="23" fillId="4" borderId="1" xfId="0" applyFont="1" applyFill="1" applyBorder="1"/>
    <xf numFmtId="0" fontId="23" fillId="0" borderId="1" xfId="0" applyFont="1" applyBorder="1"/>
    <xf numFmtId="1" fontId="25" fillId="0" borderId="1" xfId="0" applyNumberFormat="1" applyFont="1" applyBorder="1"/>
    <xf numFmtId="0" fontId="26" fillId="0" borderId="1" xfId="0" applyFont="1" applyFill="1" applyBorder="1" applyAlignment="1">
      <alignment wrapText="1"/>
    </xf>
    <xf numFmtId="49" fontId="23" fillId="0" borderId="1" xfId="0" applyNumberFormat="1" applyFont="1" applyBorder="1"/>
    <xf numFmtId="0" fontId="27" fillId="0" borderId="1" xfId="0" applyFont="1" applyBorder="1" applyAlignment="1">
      <alignment wrapText="1"/>
    </xf>
    <xf numFmtId="2" fontId="28" fillId="0" borderId="1" xfId="0" applyNumberFormat="1" applyFont="1" applyBorder="1"/>
    <xf numFmtId="1" fontId="29" fillId="0" borderId="1" xfId="0" applyNumberFormat="1" applyFont="1" applyBorder="1"/>
    <xf numFmtId="2" fontId="29" fillId="0" borderId="1" xfId="0" applyNumberFormat="1" applyFont="1" applyBorder="1"/>
    <xf numFmtId="1" fontId="30" fillId="0" borderId="1" xfId="0" applyNumberFormat="1" applyFont="1" applyBorder="1"/>
    <xf numFmtId="2" fontId="28" fillId="4" borderId="1" xfId="0" applyNumberFormat="1" applyFont="1" applyFill="1" applyBorder="1"/>
    <xf numFmtId="1" fontId="29" fillId="4" borderId="1" xfId="0" applyNumberFormat="1" applyFont="1" applyFill="1" applyBorder="1"/>
    <xf numFmtId="2" fontId="27" fillId="0" borderId="1" xfId="0" applyNumberFormat="1" applyFont="1" applyBorder="1"/>
    <xf numFmtId="1" fontId="29" fillId="0" borderId="4" xfId="0" applyNumberFormat="1" applyFont="1" applyBorder="1"/>
    <xf numFmtId="2" fontId="30" fillId="0" borderId="1" xfId="0" applyNumberFormat="1" applyFont="1" applyBorder="1"/>
    <xf numFmtId="2" fontId="30" fillId="4" borderId="1" xfId="0" applyNumberFormat="1" applyFont="1" applyFill="1" applyBorder="1"/>
    <xf numFmtId="0" fontId="22" fillId="0" borderId="2" xfId="0" applyFont="1" applyBorder="1"/>
    <xf numFmtId="0" fontId="22" fillId="0" borderId="0" xfId="0" applyFont="1" applyAlignment="1">
      <alignment wrapText="1"/>
    </xf>
    <xf numFmtId="1" fontId="22" fillId="2" borderId="1" xfId="0" applyNumberFormat="1" applyFont="1" applyFill="1" applyBorder="1"/>
    <xf numFmtId="1" fontId="22" fillId="3" borderId="1" xfId="0" applyNumberFormat="1" applyFont="1" applyFill="1" applyBorder="1"/>
    <xf numFmtId="0" fontId="22" fillId="2" borderId="1" xfId="0" applyFont="1" applyFill="1" applyBorder="1"/>
    <xf numFmtId="9" fontId="22" fillId="0" borderId="0" xfId="0" applyNumberFormat="1" applyFont="1"/>
    <xf numFmtId="9" fontId="22" fillId="0" borderId="0" xfId="2" applyFont="1"/>
  </cellXfs>
  <cellStyles count="3">
    <cellStyle name="Hipersaite" xfId="1" builtinId="8"/>
    <cellStyle name="Parasts" xfId="0" builtinId="0"/>
    <cellStyle name="Procenti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rita/Downloads/Skolas-&#275;din&#257;&#353;anaAPR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aksas"/>
      <sheetName val="Aizputes pag. psk"/>
      <sheetName val="Durbes psk"/>
      <sheetName val="Dzērves psk"/>
      <sheetName val="Kalvenes psk"/>
      <sheetName val="Krotes psk"/>
      <sheetName val="Kazdangas psk"/>
      <sheetName val="Mežupes psk"/>
      <sheetName val="Padures psk"/>
      <sheetName val="Pāvilostas psk"/>
      <sheetName val="Rucavas psk"/>
      <sheetName val="Vērgales psk"/>
      <sheetName val="Aizputes vsk"/>
      <sheetName val="Nīcas vsk"/>
      <sheetName val="Vaiņodes vsk"/>
    </sheetNames>
    <sheetDataSet>
      <sheetData sheetId="0"/>
      <sheetData sheetId="1">
        <row r="47">
          <cell r="B47">
            <v>1.2999999999999998</v>
          </cell>
        </row>
        <row r="48">
          <cell r="B48">
            <v>1.81</v>
          </cell>
        </row>
        <row r="49">
          <cell r="B49">
            <v>1.81</v>
          </cell>
        </row>
        <row r="50">
          <cell r="B50">
            <v>1.81</v>
          </cell>
        </row>
      </sheetData>
      <sheetData sheetId="2">
        <row r="48">
          <cell r="B48">
            <v>1.07</v>
          </cell>
        </row>
        <row r="49">
          <cell r="B49">
            <v>1.42</v>
          </cell>
        </row>
        <row r="50">
          <cell r="B50">
            <v>1.4100000000000001</v>
          </cell>
        </row>
        <row r="51">
          <cell r="B51">
            <v>1.42</v>
          </cell>
        </row>
        <row r="52">
          <cell r="B52">
            <v>1.42</v>
          </cell>
        </row>
      </sheetData>
      <sheetData sheetId="3"/>
      <sheetData sheetId="4">
        <row r="46">
          <cell r="B46">
            <v>1.6</v>
          </cell>
        </row>
        <row r="47">
          <cell r="B47">
            <v>2.12</v>
          </cell>
        </row>
        <row r="48">
          <cell r="B48">
            <v>2.12</v>
          </cell>
        </row>
      </sheetData>
      <sheetData sheetId="5">
        <row r="46">
          <cell r="B46">
            <v>0.89999999999999991</v>
          </cell>
        </row>
        <row r="47">
          <cell r="B47">
            <v>1.18</v>
          </cell>
        </row>
        <row r="48">
          <cell r="B48">
            <v>1.01</v>
          </cell>
        </row>
        <row r="49">
          <cell r="B49">
            <v>1.18</v>
          </cell>
        </row>
        <row r="50">
          <cell r="B50">
            <v>1.18</v>
          </cell>
        </row>
      </sheetData>
      <sheetData sheetId="6">
        <row r="48">
          <cell r="B48">
            <v>0.83000000000000007</v>
          </cell>
        </row>
        <row r="49">
          <cell r="B49">
            <v>1.34</v>
          </cell>
        </row>
        <row r="50">
          <cell r="B50">
            <v>0.84000000000000008</v>
          </cell>
        </row>
        <row r="51">
          <cell r="B51">
            <v>1.34</v>
          </cell>
        </row>
        <row r="52">
          <cell r="B52">
            <v>1.34</v>
          </cell>
        </row>
      </sheetData>
      <sheetData sheetId="7"/>
      <sheetData sheetId="8"/>
      <sheetData sheetId="9"/>
      <sheetData sheetId="10">
        <row r="48">
          <cell r="B48">
            <v>1.71</v>
          </cell>
        </row>
        <row r="49">
          <cell r="B49">
            <v>0.92999999999999994</v>
          </cell>
        </row>
        <row r="50">
          <cell r="B50">
            <v>1.71</v>
          </cell>
        </row>
      </sheetData>
      <sheetData sheetId="11"/>
      <sheetData sheetId="12">
        <row r="49">
          <cell r="B49">
            <v>0.99</v>
          </cell>
        </row>
        <row r="50">
          <cell r="B50">
            <v>1.49</v>
          </cell>
        </row>
        <row r="51">
          <cell r="B51">
            <v>1.0899999999999999</v>
          </cell>
        </row>
        <row r="52">
          <cell r="B52">
            <v>1.54</v>
          </cell>
        </row>
        <row r="53">
          <cell r="B53">
            <v>1.54</v>
          </cell>
        </row>
      </sheetData>
      <sheetData sheetId="13">
        <row r="49">
          <cell r="B49">
            <v>0.83000000000000007</v>
          </cell>
        </row>
        <row r="50">
          <cell r="B50">
            <v>1.31</v>
          </cell>
        </row>
        <row r="51">
          <cell r="B51">
            <v>0.79</v>
          </cell>
        </row>
        <row r="52">
          <cell r="B52">
            <v>1.32</v>
          </cell>
        </row>
        <row r="54">
          <cell r="B54">
            <v>1.4500000000000002</v>
          </cell>
        </row>
      </sheetData>
      <sheetData sheetId="14">
        <row r="50">
          <cell r="B50">
            <v>1.1100000000000001</v>
          </cell>
        </row>
        <row r="51">
          <cell r="B51">
            <v>1.52</v>
          </cell>
        </row>
        <row r="52">
          <cell r="B52">
            <v>1.25</v>
          </cell>
        </row>
        <row r="53">
          <cell r="B53">
            <v>1.76</v>
          </cell>
        </row>
        <row r="54">
          <cell r="B54">
            <v>1.76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verita.apine@dkn.l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everita.apine@dkn.lv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verita.apine@dkn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workbookViewId="0">
      <selection activeCell="AJ12" sqref="AJ12"/>
    </sheetView>
  </sheetViews>
  <sheetFormatPr defaultRowHeight="14.4" x14ac:dyDescent="0.3"/>
  <cols>
    <col min="2" max="2" width="6.5546875" style="69" customWidth="1"/>
    <col min="3" max="3" width="15.109375" style="69" customWidth="1"/>
    <col min="4" max="4" width="8.33203125" style="69" bestFit="1" customWidth="1"/>
    <col min="5" max="5" width="8" style="69" customWidth="1"/>
    <col min="6" max="6" width="9.44140625" style="69" bestFit="1" customWidth="1"/>
    <col min="7" max="7" width="7.5546875" style="69" customWidth="1"/>
    <col min="8" max="8" width="7.44140625" style="69" bestFit="1" customWidth="1"/>
    <col min="9" max="9" width="7.5546875" style="69" customWidth="1"/>
    <col min="10" max="10" width="8.44140625" style="69" hidden="1" customWidth="1"/>
    <col min="11" max="11" width="8.109375" style="69" hidden="1" customWidth="1"/>
    <col min="12" max="12" width="9.44140625" style="69" hidden="1" customWidth="1"/>
    <col min="13" max="13" width="8.33203125" style="69" hidden="1" customWidth="1"/>
    <col min="14" max="14" width="9.44140625" style="69" hidden="1" customWidth="1"/>
    <col min="15" max="15" width="7.88671875" style="69" hidden="1" customWidth="1"/>
    <col min="16" max="16" width="7.44140625" style="69" hidden="1" customWidth="1"/>
    <col min="17" max="17" width="7.6640625" style="69" hidden="1" customWidth="1"/>
    <col min="18" max="18" width="8.44140625" style="69" hidden="1" customWidth="1"/>
    <col min="19" max="19" width="7.6640625" style="69" hidden="1" customWidth="1"/>
    <col min="20" max="20" width="0" style="69" hidden="1" customWidth="1"/>
    <col min="21" max="22" width="7.5546875" style="69" hidden="1" customWidth="1"/>
    <col min="23" max="23" width="10" style="69" hidden="1" customWidth="1"/>
    <col min="24" max="24" width="9.44140625" style="69" hidden="1" customWidth="1"/>
    <col min="25" max="25" width="0" style="69" hidden="1" customWidth="1"/>
    <col min="26" max="26" width="14.6640625" style="69" customWidth="1"/>
    <col min="27" max="27" width="10.88671875" style="69" customWidth="1"/>
  </cols>
  <sheetData>
    <row r="1" spans="1:27" x14ac:dyDescent="0.3">
      <c r="A1" s="8"/>
      <c r="U1" s="70" t="s">
        <v>234</v>
      </c>
      <c r="V1" s="70"/>
      <c r="W1" s="70"/>
      <c r="Z1" s="69" t="s">
        <v>270</v>
      </c>
    </row>
    <row r="2" spans="1:27" x14ac:dyDescent="0.3">
      <c r="A2" s="8"/>
      <c r="U2" s="70"/>
      <c r="V2" s="70"/>
      <c r="W2" s="70"/>
    </row>
    <row r="3" spans="1:27" x14ac:dyDescent="0.3">
      <c r="A3" s="8"/>
      <c r="B3" s="69" t="s">
        <v>269</v>
      </c>
      <c r="U3" s="70"/>
      <c r="V3" s="70"/>
      <c r="W3" s="70"/>
    </row>
    <row r="4" spans="1:27" x14ac:dyDescent="0.3">
      <c r="A4" s="8"/>
    </row>
    <row r="5" spans="1:27" ht="46.8" x14ac:dyDescent="0.3">
      <c r="A5" s="8"/>
      <c r="B5" s="7" t="s">
        <v>235</v>
      </c>
      <c r="C5" s="7" t="s">
        <v>236</v>
      </c>
      <c r="D5" s="5" t="s">
        <v>237</v>
      </c>
      <c r="E5" s="4"/>
      <c r="F5" s="4"/>
      <c r="G5" s="4"/>
      <c r="H5" s="4"/>
      <c r="I5" s="3"/>
      <c r="J5" s="5" t="s">
        <v>238</v>
      </c>
      <c r="K5" s="4"/>
      <c r="L5" s="4"/>
      <c r="M5" s="3"/>
      <c r="N5" s="71" t="s">
        <v>239</v>
      </c>
      <c r="O5" s="72"/>
      <c r="P5" s="71"/>
      <c r="Q5" s="72"/>
      <c r="R5" s="71"/>
      <c r="S5" s="72"/>
      <c r="T5" s="2" t="s">
        <v>240</v>
      </c>
      <c r="U5" s="1"/>
      <c r="V5" s="73" t="s">
        <v>241</v>
      </c>
      <c r="W5" s="74" t="s">
        <v>242</v>
      </c>
      <c r="X5" s="75" t="s">
        <v>243</v>
      </c>
      <c r="Y5" s="69" t="s">
        <v>244</v>
      </c>
      <c r="Z5" s="76" t="s">
        <v>268</v>
      </c>
      <c r="AA5" s="77" t="s">
        <v>245</v>
      </c>
    </row>
    <row r="6" spans="1:27" ht="24" x14ac:dyDescent="0.3">
      <c r="A6" s="8"/>
      <c r="B6" s="6"/>
      <c r="C6" s="6"/>
      <c r="D6" s="78" t="s">
        <v>246</v>
      </c>
      <c r="E6" s="79" t="s">
        <v>247</v>
      </c>
      <c r="F6" s="78" t="s">
        <v>248</v>
      </c>
      <c r="G6" s="79" t="s">
        <v>247</v>
      </c>
      <c r="H6" s="78" t="s">
        <v>249</v>
      </c>
      <c r="I6" s="79" t="s">
        <v>247</v>
      </c>
      <c r="J6" s="78" t="s">
        <v>246</v>
      </c>
      <c r="K6" s="79" t="s">
        <v>247</v>
      </c>
      <c r="L6" s="80" t="s">
        <v>248</v>
      </c>
      <c r="M6" s="81" t="s">
        <v>247</v>
      </c>
      <c r="N6" s="82" t="s">
        <v>248</v>
      </c>
      <c r="O6" s="79" t="s">
        <v>247</v>
      </c>
      <c r="P6" s="78" t="s">
        <v>249</v>
      </c>
      <c r="Q6" s="79" t="s">
        <v>247</v>
      </c>
      <c r="R6" s="78" t="s">
        <v>250</v>
      </c>
      <c r="S6" s="79" t="s">
        <v>247</v>
      </c>
      <c r="T6" s="82" t="s">
        <v>248</v>
      </c>
      <c r="U6" s="83" t="s">
        <v>247</v>
      </c>
      <c r="V6" s="79"/>
      <c r="W6" s="79"/>
      <c r="X6" s="78"/>
      <c r="Z6" s="77"/>
      <c r="AA6" s="77"/>
    </row>
    <row r="7" spans="1:27" x14ac:dyDescent="0.3">
      <c r="A7" s="8"/>
      <c r="B7" s="84">
        <v>1</v>
      </c>
      <c r="C7" s="84">
        <v>2</v>
      </c>
      <c r="D7" s="84">
        <v>3</v>
      </c>
      <c r="E7" s="84">
        <v>4</v>
      </c>
      <c r="F7" s="84">
        <v>5</v>
      </c>
      <c r="G7" s="84">
        <v>6</v>
      </c>
      <c r="H7" s="84">
        <v>7</v>
      </c>
      <c r="I7" s="84">
        <v>8</v>
      </c>
      <c r="J7" s="84">
        <v>9</v>
      </c>
      <c r="K7" s="84">
        <v>10</v>
      </c>
      <c r="L7" s="85">
        <v>11</v>
      </c>
      <c r="M7" s="85">
        <v>12</v>
      </c>
      <c r="N7" s="84">
        <v>13</v>
      </c>
      <c r="O7" s="86">
        <v>14</v>
      </c>
      <c r="P7" s="84">
        <v>15</v>
      </c>
      <c r="Q7" s="84">
        <v>16</v>
      </c>
      <c r="R7" s="84">
        <v>17</v>
      </c>
      <c r="S7" s="84">
        <v>18</v>
      </c>
      <c r="T7" s="84">
        <v>19</v>
      </c>
      <c r="U7" s="87">
        <v>20</v>
      </c>
      <c r="V7" s="84"/>
      <c r="W7" s="84"/>
      <c r="X7" s="78"/>
      <c r="Z7" s="77"/>
      <c r="AA7" s="77"/>
    </row>
    <row r="8" spans="1:27" ht="24" x14ac:dyDescent="0.3">
      <c r="A8" s="8"/>
      <c r="B8" s="88" t="s">
        <v>251</v>
      </c>
      <c r="C8" s="75" t="s">
        <v>0</v>
      </c>
      <c r="D8" s="89">
        <f>'[1]Aizputes pag. psk'!B47</f>
        <v>1.2999999999999998</v>
      </c>
      <c r="E8" s="90">
        <v>205</v>
      </c>
      <c r="F8" s="89">
        <f>'[1]Aizputes pag. psk'!B48</f>
        <v>1.81</v>
      </c>
      <c r="G8" s="90">
        <v>210</v>
      </c>
      <c r="H8" s="78"/>
      <c r="I8" s="91"/>
      <c r="J8" s="92"/>
      <c r="K8" s="90"/>
      <c r="L8" s="93">
        <v>1.81</v>
      </c>
      <c r="M8" s="94">
        <v>539</v>
      </c>
      <c r="N8" s="89">
        <f>'[1]Aizputes pag. psk'!B49</f>
        <v>1.81</v>
      </c>
      <c r="O8" s="90">
        <v>861</v>
      </c>
      <c r="P8" s="92"/>
      <c r="Q8" s="91"/>
      <c r="R8" s="92"/>
      <c r="S8" s="91"/>
      <c r="T8" s="89">
        <f>'[1]Aizputes pag. psk'!B50</f>
        <v>1.81</v>
      </c>
      <c r="U8" s="95">
        <v>140</v>
      </c>
      <c r="V8" s="90">
        <f t="shared" ref="V8:V16" si="0">L8*M8</f>
        <v>975.59</v>
      </c>
      <c r="W8" s="90">
        <f t="shared" ref="W8:W13" si="1">N8*O8*2/5</f>
        <v>623.36400000000003</v>
      </c>
      <c r="X8" s="96">
        <f t="shared" ref="X8:X13" si="2">D8*E8+F8*G8+H8*I8+J8*K8+N8*O8*3/5+T8*U8</f>
        <v>1835.046</v>
      </c>
      <c r="Z8" s="97">
        <v>0.9</v>
      </c>
      <c r="AA8" s="98">
        <f t="shared" ref="AA8:AA13" si="3">(F8-Z8)/Z8</f>
        <v>1.0111111111111111</v>
      </c>
    </row>
    <row r="9" spans="1:27" ht="24" x14ac:dyDescent="0.3">
      <c r="A9" s="8"/>
      <c r="B9" s="88" t="s">
        <v>252</v>
      </c>
      <c r="C9" s="75" t="s">
        <v>1</v>
      </c>
      <c r="D9" s="89">
        <f>'[1]Durbes psk'!B48</f>
        <v>1.07</v>
      </c>
      <c r="E9" s="90">
        <v>982</v>
      </c>
      <c r="F9" s="89">
        <f>'[1]Durbes psk'!B49</f>
        <v>1.42</v>
      </c>
      <c r="G9" s="90">
        <v>1495</v>
      </c>
      <c r="H9" s="89">
        <f>'[1]Durbes psk'!B50</f>
        <v>1.4100000000000001</v>
      </c>
      <c r="I9" s="99">
        <v>790</v>
      </c>
      <c r="J9" s="78"/>
      <c r="K9" s="90"/>
      <c r="L9" s="100">
        <v>1.42</v>
      </c>
      <c r="M9" s="94">
        <v>1732</v>
      </c>
      <c r="N9" s="89">
        <f>'[1]Durbes psk'!B51</f>
        <v>1.42</v>
      </c>
      <c r="O9" s="90">
        <v>601</v>
      </c>
      <c r="P9" s="78"/>
      <c r="Q9" s="99"/>
      <c r="R9" s="78"/>
      <c r="S9" s="99"/>
      <c r="T9" s="89">
        <f>'[1]Durbes psk'!B52</f>
        <v>1.42</v>
      </c>
      <c r="U9" s="95">
        <v>173</v>
      </c>
      <c r="V9" s="90">
        <f t="shared" si="0"/>
        <v>2459.44</v>
      </c>
      <c r="W9" s="90">
        <f t="shared" si="1"/>
        <v>341.36799999999999</v>
      </c>
      <c r="X9" s="96">
        <f t="shared" si="2"/>
        <v>5045.2520000000004</v>
      </c>
      <c r="Z9" s="97">
        <v>1.56</v>
      </c>
      <c r="AA9" s="98">
        <f t="shared" si="3"/>
        <v>-8.9743589743589813E-2</v>
      </c>
    </row>
    <row r="10" spans="1:27" ht="24" x14ac:dyDescent="0.3">
      <c r="A10" s="8"/>
      <c r="B10" s="88" t="s">
        <v>253</v>
      </c>
      <c r="C10" s="75" t="s">
        <v>254</v>
      </c>
      <c r="D10" s="89">
        <v>1.6</v>
      </c>
      <c r="E10" s="90">
        <v>180</v>
      </c>
      <c r="F10" s="89">
        <v>2.12</v>
      </c>
      <c r="G10" s="90">
        <v>180</v>
      </c>
      <c r="H10" s="101"/>
      <c r="I10" s="91"/>
      <c r="J10" s="89">
        <f>'[1]Kalvenes psk'!B46</f>
        <v>1.6</v>
      </c>
      <c r="K10" s="102">
        <v>433</v>
      </c>
      <c r="L10" s="93">
        <v>2.12</v>
      </c>
      <c r="M10" s="94">
        <v>407</v>
      </c>
      <c r="N10" s="89">
        <f>'[1]Kalvenes psk'!B47</f>
        <v>2.12</v>
      </c>
      <c r="O10" s="90">
        <v>426</v>
      </c>
      <c r="P10" s="92"/>
      <c r="Q10" s="91"/>
      <c r="R10" s="92"/>
      <c r="S10" s="91"/>
      <c r="T10" s="89">
        <f>'[1]Kalvenes psk'!B48</f>
        <v>2.12</v>
      </c>
      <c r="U10" s="95">
        <v>70</v>
      </c>
      <c r="V10" s="90">
        <f t="shared" si="0"/>
        <v>862.84</v>
      </c>
      <c r="W10" s="90">
        <f t="shared" si="1"/>
        <v>361.24799999999999</v>
      </c>
      <c r="X10" s="96">
        <f t="shared" si="2"/>
        <v>2052.672</v>
      </c>
      <c r="Z10" s="97">
        <v>0.82</v>
      </c>
      <c r="AA10" s="98">
        <f t="shared" si="3"/>
        <v>1.5853658536585371</v>
      </c>
    </row>
    <row r="11" spans="1:27" ht="24" x14ac:dyDescent="0.3">
      <c r="A11" s="8"/>
      <c r="B11" s="88" t="s">
        <v>255</v>
      </c>
      <c r="C11" s="75" t="s">
        <v>256</v>
      </c>
      <c r="D11" s="89">
        <f>'[1]Krotes psk'!B46</f>
        <v>0.89999999999999991</v>
      </c>
      <c r="E11" s="90">
        <v>541</v>
      </c>
      <c r="F11" s="89">
        <f>'[1]Krotes psk'!B47</f>
        <v>1.18</v>
      </c>
      <c r="G11" s="90">
        <v>603</v>
      </c>
      <c r="H11" s="89">
        <f>'[1]Krotes psk'!B48</f>
        <v>1.01</v>
      </c>
      <c r="I11" s="99">
        <v>514</v>
      </c>
      <c r="J11" s="101"/>
      <c r="K11" s="102"/>
      <c r="L11" s="100">
        <v>1.18</v>
      </c>
      <c r="M11" s="94">
        <v>701</v>
      </c>
      <c r="N11" s="89">
        <f>'[1]Krotes psk'!B49</f>
        <v>1.18</v>
      </c>
      <c r="O11" s="90">
        <v>809</v>
      </c>
      <c r="P11" s="78"/>
      <c r="Q11" s="99"/>
      <c r="R11" s="78"/>
      <c r="S11" s="99"/>
      <c r="T11" s="89">
        <f>'[1]Krotes psk'!B50</f>
        <v>1.18</v>
      </c>
      <c r="U11" s="95">
        <v>200</v>
      </c>
      <c r="V11" s="90">
        <f t="shared" si="0"/>
        <v>827.18</v>
      </c>
      <c r="W11" s="90">
        <f t="shared" si="1"/>
        <v>381.84800000000001</v>
      </c>
      <c r="X11" s="96">
        <f t="shared" si="2"/>
        <v>2526.3519999999999</v>
      </c>
      <c r="Z11" s="97">
        <v>0.84</v>
      </c>
      <c r="AA11" s="98">
        <f t="shared" si="3"/>
        <v>0.40476190476190477</v>
      </c>
    </row>
    <row r="12" spans="1:27" ht="35.4" x14ac:dyDescent="0.3">
      <c r="A12" s="8"/>
      <c r="B12" s="88" t="s">
        <v>257</v>
      </c>
      <c r="C12" s="75" t="s">
        <v>258</v>
      </c>
      <c r="D12" s="89">
        <f>'[1]Kazdangas psk'!B48</f>
        <v>0.83000000000000007</v>
      </c>
      <c r="E12" s="90">
        <v>814</v>
      </c>
      <c r="F12" s="89">
        <f>'[1]Kazdangas psk'!B49</f>
        <v>1.34</v>
      </c>
      <c r="G12" s="90">
        <v>814</v>
      </c>
      <c r="H12" s="89">
        <f>'[1]Kazdangas psk'!B50</f>
        <v>0.84000000000000008</v>
      </c>
      <c r="I12" s="99">
        <v>814</v>
      </c>
      <c r="J12" s="101"/>
      <c r="K12" s="102"/>
      <c r="L12" s="93">
        <f>'[1]Kazdangas psk'!B52</f>
        <v>1.34</v>
      </c>
      <c r="M12" s="94">
        <v>1078</v>
      </c>
      <c r="N12" s="89">
        <f>'[1]Kazdangas psk'!B51</f>
        <v>1.34</v>
      </c>
      <c r="O12" s="90">
        <v>1584</v>
      </c>
      <c r="P12" s="78"/>
      <c r="Q12" s="99"/>
      <c r="R12" s="78"/>
      <c r="S12" s="99"/>
      <c r="T12" s="89">
        <f>'[1]Kazdangas psk'!B51</f>
        <v>1.34</v>
      </c>
      <c r="U12" s="95">
        <v>80</v>
      </c>
      <c r="V12" s="90">
        <f t="shared" si="0"/>
        <v>1444.52</v>
      </c>
      <c r="W12" s="90">
        <f t="shared" si="1"/>
        <v>849.024</v>
      </c>
      <c r="X12" s="96">
        <f t="shared" si="2"/>
        <v>3830.8760000000002</v>
      </c>
      <c r="Z12" s="97">
        <v>0.9</v>
      </c>
      <c r="AA12" s="98">
        <f t="shared" si="3"/>
        <v>0.48888888888888893</v>
      </c>
    </row>
    <row r="13" spans="1:27" ht="24" x14ac:dyDescent="0.3">
      <c r="A13" s="8"/>
      <c r="B13" s="88" t="s">
        <v>259</v>
      </c>
      <c r="C13" s="75" t="s">
        <v>2</v>
      </c>
      <c r="D13" s="101"/>
      <c r="E13" s="90"/>
      <c r="F13" s="89">
        <f>'[1]Rucavas psk'!B48</f>
        <v>1.71</v>
      </c>
      <c r="G13" s="90">
        <v>1140</v>
      </c>
      <c r="H13" s="89">
        <f>'[1]Rucavas psk'!B49</f>
        <v>0.92999999999999994</v>
      </c>
      <c r="I13" s="90">
        <v>912</v>
      </c>
      <c r="J13" s="89"/>
      <c r="K13" s="102"/>
      <c r="L13" s="93">
        <v>1.71</v>
      </c>
      <c r="M13" s="94">
        <v>520</v>
      </c>
      <c r="N13" s="89">
        <f>'[1]Rucavas psk'!B50</f>
        <v>1.71</v>
      </c>
      <c r="O13" s="90">
        <v>620</v>
      </c>
      <c r="P13" s="78"/>
      <c r="Q13" s="91"/>
      <c r="R13" s="78"/>
      <c r="S13" s="99"/>
      <c r="T13" s="89">
        <f>'[1]Rucavas psk'!B50</f>
        <v>1.71</v>
      </c>
      <c r="U13" s="95">
        <v>260</v>
      </c>
      <c r="V13" s="90">
        <f t="shared" si="0"/>
        <v>889.19999999999993</v>
      </c>
      <c r="W13" s="90">
        <f t="shared" si="1"/>
        <v>424.08000000000004</v>
      </c>
      <c r="X13" s="96">
        <f t="shared" si="2"/>
        <v>3878.28</v>
      </c>
      <c r="Z13" s="97">
        <v>0.9</v>
      </c>
      <c r="AA13" s="98">
        <f t="shared" si="3"/>
        <v>0.89999999999999991</v>
      </c>
    </row>
    <row r="14" spans="1:27" x14ac:dyDescent="0.3">
      <c r="A14" s="9"/>
      <c r="B14" s="88" t="s">
        <v>260</v>
      </c>
      <c r="C14" s="103" t="s">
        <v>261</v>
      </c>
      <c r="D14" s="89">
        <f>'[1]Aizputes vsk'!B49</f>
        <v>0.99</v>
      </c>
      <c r="E14" s="90">
        <v>600</v>
      </c>
      <c r="F14" s="89">
        <f>'[1]Aizputes vsk'!B50</f>
        <v>1.49</v>
      </c>
      <c r="G14" s="90">
        <v>960</v>
      </c>
      <c r="H14" s="89">
        <f>'[1]Aizputes vsk'!B51</f>
        <v>1.0899999999999999</v>
      </c>
      <c r="I14" s="90">
        <v>600</v>
      </c>
      <c r="J14" s="89"/>
      <c r="K14" s="102"/>
      <c r="L14" s="93">
        <v>1.49</v>
      </c>
      <c r="M14" s="94">
        <v>1950</v>
      </c>
      <c r="N14" s="89">
        <f>'[1]Aizputes vsk'!B52</f>
        <v>1.54</v>
      </c>
      <c r="O14" s="90">
        <v>2800</v>
      </c>
      <c r="P14" s="78"/>
      <c r="Q14" s="91"/>
      <c r="R14" s="78"/>
      <c r="S14" s="99"/>
      <c r="T14" s="89">
        <f>'[1]Aizputes vsk'!B53</f>
        <v>1.54</v>
      </c>
      <c r="U14" s="95">
        <v>500</v>
      </c>
      <c r="V14" s="90">
        <f t="shared" si="0"/>
        <v>2905.5</v>
      </c>
      <c r="W14" s="90">
        <f>N14*O14*2/8</f>
        <v>1078</v>
      </c>
      <c r="X14" s="96">
        <f>D14*E14+F14*G14+H14*I14+J14*K14+N14*O14*6/8+T14*U14</f>
        <v>6682.4</v>
      </c>
      <c r="Z14" s="97">
        <v>0.85</v>
      </c>
      <c r="AA14" s="98">
        <f>(N14-Z14)/Z14</f>
        <v>0.81176470588235305</v>
      </c>
    </row>
    <row r="15" spans="1:27" x14ac:dyDescent="0.3">
      <c r="A15" s="8"/>
      <c r="B15" s="88" t="s">
        <v>262</v>
      </c>
      <c r="C15" s="103" t="s">
        <v>263</v>
      </c>
      <c r="D15" s="89">
        <f>'[1]Nīcas vsk'!B49</f>
        <v>0.83000000000000007</v>
      </c>
      <c r="E15" s="90">
        <v>938</v>
      </c>
      <c r="F15" s="89">
        <f>'[1]Nīcas vsk'!B50</f>
        <v>1.31</v>
      </c>
      <c r="G15" s="90">
        <v>2033</v>
      </c>
      <c r="H15" s="89">
        <f>'[1]Nīcas vsk'!B51</f>
        <v>0.79</v>
      </c>
      <c r="I15" s="99">
        <v>1603</v>
      </c>
      <c r="J15" s="101"/>
      <c r="K15" s="102"/>
      <c r="L15" s="100">
        <v>1.32</v>
      </c>
      <c r="M15" s="94">
        <v>1640</v>
      </c>
      <c r="N15" s="89">
        <f>'[1]Nīcas vsk'!B52</f>
        <v>1.32</v>
      </c>
      <c r="O15" s="90">
        <v>2219</v>
      </c>
      <c r="P15" s="78"/>
      <c r="Q15" s="99"/>
      <c r="R15" s="78"/>
      <c r="S15" s="99"/>
      <c r="T15" s="89">
        <f>'[1]Nīcas vsk'!B54</f>
        <v>1.4500000000000002</v>
      </c>
      <c r="U15" s="95">
        <v>353</v>
      </c>
      <c r="V15" s="90">
        <f t="shared" si="0"/>
        <v>2164.8000000000002</v>
      </c>
      <c r="W15" s="90">
        <f>N15*O15*2/8</f>
        <v>732.27</v>
      </c>
      <c r="X15" s="96">
        <f>D15*E15+F15*G15+H15*I15+J15*K15+N15*O15*6/8+T15*U15</f>
        <v>7416.8000000000011</v>
      </c>
      <c r="Z15" s="97">
        <v>0.75</v>
      </c>
      <c r="AA15" s="98">
        <f>(F15-Z15)/Z15</f>
        <v>0.7466666666666667</v>
      </c>
    </row>
    <row r="16" spans="1:27" ht="24" x14ac:dyDescent="0.3">
      <c r="A16" s="8"/>
      <c r="B16" s="88" t="s">
        <v>264</v>
      </c>
      <c r="C16" s="103" t="s">
        <v>3</v>
      </c>
      <c r="D16" s="89">
        <f>'[1]Vaiņodes vsk'!B50</f>
        <v>1.1100000000000001</v>
      </c>
      <c r="E16" s="90">
        <v>313</v>
      </c>
      <c r="F16" s="89">
        <f>'[1]Vaiņodes vsk'!B51</f>
        <v>1.52</v>
      </c>
      <c r="G16" s="90">
        <v>313</v>
      </c>
      <c r="H16" s="89">
        <f>'[1]Vaiņodes vsk'!B52</f>
        <v>1.25</v>
      </c>
      <c r="I16" s="99">
        <v>313</v>
      </c>
      <c r="J16" s="101"/>
      <c r="K16" s="102"/>
      <c r="L16" s="100">
        <v>1.76</v>
      </c>
      <c r="M16" s="94">
        <v>1068</v>
      </c>
      <c r="N16" s="89">
        <f>'[1]Vaiņodes vsk'!B53</f>
        <v>1.76</v>
      </c>
      <c r="O16" s="90">
        <v>1646</v>
      </c>
      <c r="P16" s="78"/>
      <c r="Q16" s="99"/>
      <c r="R16" s="78"/>
      <c r="S16" s="99"/>
      <c r="T16" s="89">
        <f>'[1]Vaiņodes vsk'!B54</f>
        <v>1.76</v>
      </c>
      <c r="U16" s="95">
        <v>298</v>
      </c>
      <c r="V16" s="90">
        <f t="shared" si="0"/>
        <v>1879.68</v>
      </c>
      <c r="W16" s="90">
        <f>N16*O16*2/8</f>
        <v>724.24</v>
      </c>
      <c r="X16" s="96">
        <f>D16*E16+F16*G16+H16*I16+J16*K16+N16*O16*6/8+T16*U16</f>
        <v>3911.6400000000003</v>
      </c>
      <c r="Z16" s="97">
        <v>1.65</v>
      </c>
      <c r="AA16" s="98">
        <f>(F16-Z16)/Z16</f>
        <v>-7.8787878787878726E-2</v>
      </c>
    </row>
    <row r="17" spans="1:27" ht="21.6" x14ac:dyDescent="0.3">
      <c r="A17" s="8"/>
      <c r="B17" s="104"/>
      <c r="C17" s="105" t="s">
        <v>265</v>
      </c>
      <c r="D17" s="106">
        <f t="shared" ref="D17:U17" si="4">AVERAGE(D8:D16)</f>
        <v>1.0787500000000001</v>
      </c>
      <c r="E17" s="107">
        <f t="shared" si="4"/>
        <v>571.625</v>
      </c>
      <c r="F17" s="106">
        <f t="shared" si="4"/>
        <v>1.5444444444444443</v>
      </c>
      <c r="G17" s="107">
        <f t="shared" si="4"/>
        <v>860.88888888888891</v>
      </c>
      <c r="H17" s="106">
        <f t="shared" si="4"/>
        <v>1.0457142857142856</v>
      </c>
      <c r="I17" s="108">
        <f t="shared" si="4"/>
        <v>792.28571428571433</v>
      </c>
      <c r="J17" s="106">
        <f t="shared" si="4"/>
        <v>1.6</v>
      </c>
      <c r="K17" s="109">
        <f t="shared" si="4"/>
        <v>433</v>
      </c>
      <c r="L17" s="110">
        <f t="shared" si="4"/>
        <v>1.572222222222222</v>
      </c>
      <c r="M17" s="111">
        <f t="shared" si="4"/>
        <v>1070.5555555555557</v>
      </c>
      <c r="N17" s="106">
        <f t="shared" si="4"/>
        <v>1.5777777777777775</v>
      </c>
      <c r="O17" s="107">
        <f t="shared" si="4"/>
        <v>1285.1111111111111</v>
      </c>
      <c r="P17" s="112" t="e">
        <f t="shared" si="4"/>
        <v>#DIV/0!</v>
      </c>
      <c r="Q17" s="108" t="e">
        <f t="shared" si="4"/>
        <v>#DIV/0!</v>
      </c>
      <c r="R17" s="112" t="e">
        <f t="shared" si="4"/>
        <v>#DIV/0!</v>
      </c>
      <c r="S17" s="108" t="e">
        <f t="shared" si="4"/>
        <v>#DIV/0!</v>
      </c>
      <c r="T17" s="106">
        <f t="shared" si="4"/>
        <v>1.5922222222222218</v>
      </c>
      <c r="U17" s="113">
        <f t="shared" si="4"/>
        <v>230.44444444444446</v>
      </c>
      <c r="V17" s="107"/>
      <c r="W17" s="107"/>
      <c r="X17" s="78"/>
      <c r="Z17" s="97">
        <f>AVERAGE(Z8:Z16)</f>
        <v>1.018888888888889</v>
      </c>
      <c r="AA17" s="98">
        <f>(F17-Z17)/Z17</f>
        <v>0.51581243184296599</v>
      </c>
    </row>
    <row r="18" spans="1:27" x14ac:dyDescent="0.3">
      <c r="A18" s="8"/>
      <c r="B18" s="104"/>
      <c r="C18" s="105" t="s">
        <v>266</v>
      </c>
      <c r="D18" s="106">
        <f t="shared" ref="D18:U18" si="5">MIN(D8:D16)</f>
        <v>0.83000000000000007</v>
      </c>
      <c r="E18" s="107">
        <f t="shared" si="5"/>
        <v>180</v>
      </c>
      <c r="F18" s="106">
        <f t="shared" si="5"/>
        <v>1.18</v>
      </c>
      <c r="G18" s="107">
        <f t="shared" si="5"/>
        <v>180</v>
      </c>
      <c r="H18" s="106">
        <f t="shared" si="5"/>
        <v>0.79</v>
      </c>
      <c r="I18" s="108">
        <f t="shared" si="5"/>
        <v>313</v>
      </c>
      <c r="J18" s="106">
        <f t="shared" si="5"/>
        <v>1.6</v>
      </c>
      <c r="K18" s="109">
        <f t="shared" si="5"/>
        <v>433</v>
      </c>
      <c r="L18" s="110">
        <f t="shared" si="5"/>
        <v>1.18</v>
      </c>
      <c r="M18" s="111">
        <f t="shared" si="5"/>
        <v>407</v>
      </c>
      <c r="N18" s="106">
        <f t="shared" si="5"/>
        <v>1.18</v>
      </c>
      <c r="O18" s="107">
        <f t="shared" si="5"/>
        <v>426</v>
      </c>
      <c r="P18" s="112">
        <f t="shared" si="5"/>
        <v>0</v>
      </c>
      <c r="Q18" s="108">
        <f t="shared" si="5"/>
        <v>0</v>
      </c>
      <c r="R18" s="112">
        <f t="shared" si="5"/>
        <v>0</v>
      </c>
      <c r="S18" s="108">
        <f t="shared" si="5"/>
        <v>0</v>
      </c>
      <c r="T18" s="106">
        <f t="shared" si="5"/>
        <v>1.18</v>
      </c>
      <c r="U18" s="113">
        <f t="shared" si="5"/>
        <v>70</v>
      </c>
      <c r="V18" s="107"/>
      <c r="W18" s="107"/>
      <c r="X18" s="78"/>
    </row>
    <row r="19" spans="1:27" x14ac:dyDescent="0.3">
      <c r="A19" s="8"/>
      <c r="B19" s="99"/>
      <c r="C19" s="105" t="s">
        <v>267</v>
      </c>
      <c r="D19" s="114">
        <f t="shared" ref="D19:U19" si="6">MAX(D8:D16)</f>
        <v>1.6</v>
      </c>
      <c r="E19" s="107">
        <f t="shared" si="6"/>
        <v>982</v>
      </c>
      <c r="F19" s="114">
        <f t="shared" si="6"/>
        <v>2.12</v>
      </c>
      <c r="G19" s="107">
        <f t="shared" si="6"/>
        <v>2033</v>
      </c>
      <c r="H19" s="114">
        <f t="shared" si="6"/>
        <v>1.4100000000000001</v>
      </c>
      <c r="I19" s="108">
        <f t="shared" si="6"/>
        <v>1603</v>
      </c>
      <c r="J19" s="114">
        <f t="shared" si="6"/>
        <v>1.6</v>
      </c>
      <c r="K19" s="109">
        <f t="shared" si="6"/>
        <v>433</v>
      </c>
      <c r="L19" s="115">
        <f t="shared" si="6"/>
        <v>2.12</v>
      </c>
      <c r="M19" s="111">
        <f t="shared" si="6"/>
        <v>1950</v>
      </c>
      <c r="N19" s="114">
        <f t="shared" si="6"/>
        <v>2.12</v>
      </c>
      <c r="O19" s="107">
        <f t="shared" si="6"/>
        <v>2800</v>
      </c>
      <c r="P19" s="108">
        <f t="shared" si="6"/>
        <v>0</v>
      </c>
      <c r="Q19" s="108">
        <f t="shared" si="6"/>
        <v>0</v>
      </c>
      <c r="R19" s="108">
        <f t="shared" si="6"/>
        <v>0</v>
      </c>
      <c r="S19" s="108">
        <f t="shared" si="6"/>
        <v>0</v>
      </c>
      <c r="T19" s="114">
        <f t="shared" si="6"/>
        <v>2.12</v>
      </c>
      <c r="U19" s="113">
        <f t="shared" si="6"/>
        <v>500</v>
      </c>
      <c r="V19" s="107"/>
      <c r="W19" s="107"/>
      <c r="X19" s="78"/>
    </row>
    <row r="20" spans="1:27" x14ac:dyDescent="0.3">
      <c r="A20" s="8"/>
      <c r="V20" s="116"/>
      <c r="W20" s="116"/>
      <c r="X20" s="116"/>
    </row>
    <row r="21" spans="1:27" x14ac:dyDescent="0.3">
      <c r="A21" s="8"/>
      <c r="C21" s="117"/>
      <c r="V21" s="118"/>
      <c r="W21" s="119"/>
      <c r="X21" s="96"/>
      <c r="Y21" s="96"/>
    </row>
    <row r="22" spans="1:27" x14ac:dyDescent="0.3">
      <c r="A22" s="8"/>
      <c r="V22" s="120"/>
      <c r="W22" s="119"/>
      <c r="X22" s="96"/>
      <c r="Y22" s="78"/>
    </row>
    <row r="23" spans="1:27" x14ac:dyDescent="0.3">
      <c r="A23" s="8"/>
    </row>
    <row r="24" spans="1:27" x14ac:dyDescent="0.3">
      <c r="A24" s="8"/>
    </row>
    <row r="32" spans="1:27" x14ac:dyDescent="0.3">
      <c r="D32" s="121"/>
      <c r="F32" s="121"/>
    </row>
    <row r="39" spans="3:3" x14ac:dyDescent="0.3">
      <c r="C39" s="122"/>
    </row>
    <row r="41" spans="3:3" x14ac:dyDescent="0.3">
      <c r="C41" s="69">
        <f>C38-C35</f>
        <v>0</v>
      </c>
    </row>
  </sheetData>
  <mergeCells count="5">
    <mergeCell ref="B5:B6"/>
    <mergeCell ref="C5:C6"/>
    <mergeCell ref="D5:I5"/>
    <mergeCell ref="J5:M5"/>
    <mergeCell ref="T5:U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0"/>
  <sheetViews>
    <sheetView topLeftCell="A34" workbookViewId="0">
      <selection activeCell="H54" sqref="H54"/>
    </sheetView>
  </sheetViews>
  <sheetFormatPr defaultRowHeight="14.4" x14ac:dyDescent="0.3"/>
  <cols>
    <col min="1" max="1" width="46.33203125" style="14" customWidth="1"/>
    <col min="2" max="2" width="11.44140625" style="14" customWidth="1"/>
    <col min="3" max="3" width="9.109375" style="14" customWidth="1"/>
    <col min="4" max="4" width="50.33203125" style="14" customWidth="1"/>
  </cols>
  <sheetData>
    <row r="1" spans="1:4" ht="15.6" x14ac:dyDescent="0.3">
      <c r="A1" s="10"/>
      <c r="B1" s="10"/>
      <c r="C1" s="10"/>
      <c r="D1" s="11" t="s">
        <v>231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212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213</v>
      </c>
      <c r="B7" s="10"/>
      <c r="C7" s="10"/>
      <c r="D7" s="10"/>
    </row>
    <row r="8" spans="1:4" ht="15.6" x14ac:dyDescent="0.3">
      <c r="A8" s="10" t="s">
        <v>8</v>
      </c>
      <c r="B8" s="10"/>
      <c r="C8" s="10"/>
      <c r="D8" s="10"/>
    </row>
    <row r="9" spans="1:4" ht="15.6" x14ac:dyDescent="0.3">
      <c r="A9" s="10"/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14">
        <f>0.98*1068</f>
        <v>1046.6399999999999</v>
      </c>
      <c r="C11" s="19"/>
      <c r="D11" s="17" t="s">
        <v>214</v>
      </c>
    </row>
    <row r="12" spans="1:4" x14ac:dyDescent="0.3">
      <c r="A12" s="18" t="s">
        <v>15</v>
      </c>
      <c r="B12" s="47">
        <f>0.98*1646</f>
        <v>1613.08</v>
      </c>
      <c r="C12" s="19"/>
      <c r="D12" s="17" t="s">
        <v>215</v>
      </c>
    </row>
    <row r="13" spans="1:4" x14ac:dyDescent="0.3">
      <c r="A13" s="18" t="s">
        <v>216</v>
      </c>
      <c r="B13" s="47">
        <f>0.98*298</f>
        <v>292.04000000000002</v>
      </c>
      <c r="C13" s="19"/>
      <c r="D13" s="17" t="s">
        <v>217</v>
      </c>
    </row>
    <row r="14" spans="1:4" x14ac:dyDescent="0.3">
      <c r="A14" s="18" t="s">
        <v>17</v>
      </c>
      <c r="B14" s="47">
        <f>0.98*206</f>
        <v>201.88</v>
      </c>
      <c r="C14" s="19"/>
      <c r="D14" s="17" t="s">
        <v>218</v>
      </c>
    </row>
    <row r="15" spans="1:4" x14ac:dyDescent="0.3">
      <c r="A15" s="18" t="s">
        <v>19</v>
      </c>
      <c r="B15" s="47"/>
      <c r="C15" s="19">
        <f>0.33*313</f>
        <v>103.29</v>
      </c>
      <c r="D15" s="17" t="s">
        <v>219</v>
      </c>
    </row>
    <row r="16" spans="1:4" x14ac:dyDescent="0.3">
      <c r="A16" s="18" t="s">
        <v>21</v>
      </c>
      <c r="B16" s="47"/>
      <c r="C16" s="19">
        <f>0.74*313</f>
        <v>231.62</v>
      </c>
      <c r="D16" s="17" t="s">
        <v>220</v>
      </c>
    </row>
    <row r="17" spans="1:4" x14ac:dyDescent="0.3">
      <c r="A17" s="18" t="s">
        <v>221</v>
      </c>
      <c r="B17" s="47"/>
      <c r="C17" s="19">
        <f>0.47*313</f>
        <v>147.10999999999999</v>
      </c>
      <c r="D17" s="17" t="s">
        <v>222</v>
      </c>
    </row>
    <row r="18" spans="1:4" x14ac:dyDescent="0.3">
      <c r="A18" s="55" t="s">
        <v>23</v>
      </c>
      <c r="B18" s="41">
        <f>SUM(B12:B14:B11)</f>
        <v>3153.64</v>
      </c>
      <c r="C18" s="21">
        <f>SUM(C15:C17)</f>
        <v>482.02</v>
      </c>
      <c r="D18" s="56"/>
    </row>
    <row r="19" spans="1:4" x14ac:dyDescent="0.3">
      <c r="A19" s="55"/>
      <c r="B19" s="55"/>
      <c r="C19" s="55"/>
      <c r="D19" s="56"/>
    </row>
    <row r="20" spans="1:4" ht="15.6" x14ac:dyDescent="0.3">
      <c r="A20" s="18" t="s">
        <v>24</v>
      </c>
      <c r="B20" s="45">
        <v>2270</v>
      </c>
      <c r="C20" s="16"/>
      <c r="D20" s="22" t="s">
        <v>223</v>
      </c>
    </row>
    <row r="21" spans="1:4" ht="15.6" x14ac:dyDescent="0.3">
      <c r="A21" s="18" t="s">
        <v>26</v>
      </c>
      <c r="B21" s="45">
        <f>ROUND(B20*0.2359,2)</f>
        <v>535.49</v>
      </c>
      <c r="C21" s="16"/>
      <c r="D21" s="17" t="s">
        <v>27</v>
      </c>
    </row>
    <row r="22" spans="1:4" ht="15.6" x14ac:dyDescent="0.3">
      <c r="A22" s="18" t="s">
        <v>28</v>
      </c>
      <c r="B22" s="45">
        <f>ROUND((B20+B21)/21*1.67,2)</f>
        <v>223.1</v>
      </c>
      <c r="C22" s="16"/>
      <c r="D22" s="17" t="s">
        <v>29</v>
      </c>
    </row>
    <row r="23" spans="1:4" ht="15.6" x14ac:dyDescent="0.3">
      <c r="A23" s="57" t="s">
        <v>30</v>
      </c>
      <c r="B23" s="45">
        <v>63.99</v>
      </c>
      <c r="C23" s="37"/>
      <c r="D23" s="46" t="s">
        <v>122</v>
      </c>
    </row>
    <row r="24" spans="1:4" ht="15.6" x14ac:dyDescent="0.3">
      <c r="A24" s="18" t="s">
        <v>32</v>
      </c>
      <c r="B24" s="45">
        <f>250/12</f>
        <v>20.833333333333332</v>
      </c>
      <c r="C24" s="16"/>
      <c r="D24" s="17" t="s">
        <v>33</v>
      </c>
    </row>
    <row r="25" spans="1:4" ht="15.6" x14ac:dyDescent="0.3">
      <c r="A25" s="26" t="s">
        <v>34</v>
      </c>
      <c r="B25" s="51">
        <v>0</v>
      </c>
      <c r="C25" s="16"/>
      <c r="D25" s="17" t="s">
        <v>224</v>
      </c>
    </row>
    <row r="26" spans="1:4" ht="15.6" x14ac:dyDescent="0.3">
      <c r="A26" s="26" t="s">
        <v>36</v>
      </c>
      <c r="B26" s="51">
        <f>1500*0.91%/12</f>
        <v>1.1375</v>
      </c>
      <c r="C26" s="16"/>
      <c r="D26" s="17" t="s">
        <v>225</v>
      </c>
    </row>
    <row r="27" spans="1:4" ht="15.6" x14ac:dyDescent="0.3">
      <c r="A27" s="58" t="s">
        <v>23</v>
      </c>
      <c r="B27" s="40">
        <f>SUM(B20:B26)</f>
        <v>3114.5508333333328</v>
      </c>
      <c r="C27" s="28">
        <f>SUM(C20:C26)</f>
        <v>0</v>
      </c>
      <c r="D27" s="13"/>
    </row>
    <row r="28" spans="1:4" ht="15.6" x14ac:dyDescent="0.3">
      <c r="A28" s="59"/>
      <c r="B28" s="60"/>
      <c r="C28" s="60"/>
      <c r="D28" s="30"/>
    </row>
    <row r="29" spans="1:4" ht="15.6" x14ac:dyDescent="0.3">
      <c r="A29" s="67" t="s">
        <v>38</v>
      </c>
      <c r="B29" s="67"/>
      <c r="C29" s="10"/>
      <c r="D29" s="30"/>
    </row>
    <row r="30" spans="1:4" ht="15.6" x14ac:dyDescent="0.3">
      <c r="A30" s="67"/>
      <c r="B30" s="16" t="s">
        <v>9</v>
      </c>
      <c r="C30" s="16"/>
      <c r="D30" s="17" t="s">
        <v>10</v>
      </c>
    </row>
    <row r="31" spans="1:4" ht="15.6" x14ac:dyDescent="0.3">
      <c r="A31" s="18" t="s">
        <v>39</v>
      </c>
      <c r="B31" s="45">
        <f>8000*0.91%/12</f>
        <v>6.0666666666666664</v>
      </c>
      <c r="C31" s="16"/>
      <c r="D31" s="17" t="s">
        <v>224</v>
      </c>
    </row>
    <row r="32" spans="1:4" ht="15.6" x14ac:dyDescent="0.3">
      <c r="A32" s="18" t="s">
        <v>40</v>
      </c>
      <c r="B32" s="45">
        <f>4900*0.91%/12</f>
        <v>3.7158333333333338</v>
      </c>
      <c r="C32" s="16"/>
      <c r="D32" s="17" t="s">
        <v>224</v>
      </c>
    </row>
    <row r="33" spans="1:4" ht="15.6" x14ac:dyDescent="0.3">
      <c r="A33" s="18" t="s">
        <v>41</v>
      </c>
      <c r="B33" s="45">
        <f>17500*0.91%/12</f>
        <v>13.270833333333334</v>
      </c>
      <c r="C33" s="16"/>
      <c r="D33" s="17" t="s">
        <v>224</v>
      </c>
    </row>
    <row r="34" spans="1:4" ht="15.6" x14ac:dyDescent="0.3">
      <c r="A34" s="18" t="s">
        <v>42</v>
      </c>
      <c r="B34" s="45">
        <f>2125*0.91%/12</f>
        <v>1.6114583333333334</v>
      </c>
      <c r="C34" s="16"/>
      <c r="D34" s="17" t="s">
        <v>224</v>
      </c>
    </row>
    <row r="35" spans="1:4" ht="15.6" x14ac:dyDescent="0.3">
      <c r="A35" s="18" t="s">
        <v>43</v>
      </c>
      <c r="B35" s="37">
        <f>2400*0.91%/12</f>
        <v>1.82</v>
      </c>
      <c r="C35" s="16"/>
      <c r="D35" s="17" t="s">
        <v>224</v>
      </c>
    </row>
    <row r="36" spans="1:4" ht="15.6" x14ac:dyDescent="0.3">
      <c r="A36" s="18" t="s">
        <v>44</v>
      </c>
      <c r="B36" s="45">
        <f>582*10%</f>
        <v>58.2</v>
      </c>
      <c r="C36" s="16"/>
      <c r="D36" s="17" t="s">
        <v>226</v>
      </c>
    </row>
    <row r="37" spans="1:4" ht="15.6" x14ac:dyDescent="0.3">
      <c r="A37" s="18" t="s">
        <v>26</v>
      </c>
      <c r="B37" s="37">
        <f>ROUND(B36*0.2359,2)</f>
        <v>13.73</v>
      </c>
      <c r="C37" s="16"/>
      <c r="D37" s="17" t="s">
        <v>27</v>
      </c>
    </row>
    <row r="38" spans="1:4" ht="15.6" x14ac:dyDescent="0.3">
      <c r="A38" s="18" t="s">
        <v>46</v>
      </c>
      <c r="B38" s="37">
        <f>ROUND((B36+B37)/21*1.67,2)</f>
        <v>5.72</v>
      </c>
      <c r="C38" s="16"/>
      <c r="D38" s="17" t="s">
        <v>29</v>
      </c>
    </row>
    <row r="39" spans="1:4" ht="15.6" x14ac:dyDescent="0.3">
      <c r="A39" s="57" t="s">
        <v>47</v>
      </c>
      <c r="B39" s="45">
        <f>411.14*0.91%</f>
        <v>3.741374</v>
      </c>
      <c r="C39" s="37"/>
      <c r="D39" s="17" t="s">
        <v>224</v>
      </c>
    </row>
    <row r="40" spans="1:4" ht="15.6" x14ac:dyDescent="0.3">
      <c r="A40" s="62" t="s">
        <v>48</v>
      </c>
      <c r="B40" s="40">
        <f>SUM(B31:B39)</f>
        <v>107.87616566666667</v>
      </c>
      <c r="C40" s="28">
        <v>0</v>
      </c>
      <c r="D40" s="30"/>
    </row>
    <row r="41" spans="1:4" ht="15.6" x14ac:dyDescent="0.3">
      <c r="A41" s="10"/>
      <c r="B41" s="10"/>
      <c r="C41" s="10"/>
      <c r="D41" s="10"/>
    </row>
    <row r="42" spans="1:4" ht="30.6" x14ac:dyDescent="0.3">
      <c r="A42" s="32" t="s">
        <v>49</v>
      </c>
      <c r="B42" s="44">
        <f>B27+B40</f>
        <v>3222.4269989999993</v>
      </c>
      <c r="C42" s="10"/>
      <c r="D42" s="10"/>
    </row>
    <row r="43" spans="1:4" ht="30.6" x14ac:dyDescent="0.3">
      <c r="A43" s="32" t="s">
        <v>50</v>
      </c>
      <c r="B43" s="44">
        <f>ROUND(B42/4157,2)</f>
        <v>0.78</v>
      </c>
      <c r="C43" s="10"/>
      <c r="D43" s="10"/>
    </row>
    <row r="44" spans="1:4" ht="15.6" x14ac:dyDescent="0.3">
      <c r="A44" s="32"/>
      <c r="B44" s="44"/>
      <c r="C44" s="10"/>
      <c r="D44" s="10"/>
    </row>
    <row r="45" spans="1:4" ht="15.6" x14ac:dyDescent="0.3">
      <c r="A45" s="30" t="s">
        <v>51</v>
      </c>
      <c r="B45" s="30"/>
      <c r="C45" s="30"/>
      <c r="D45" s="10"/>
    </row>
    <row r="46" spans="1:4" ht="15.6" x14ac:dyDescent="0.3">
      <c r="A46" s="30" t="s">
        <v>233</v>
      </c>
      <c r="B46" s="30"/>
      <c r="C46" s="30"/>
      <c r="D46" s="10"/>
    </row>
    <row r="47" spans="1:4" ht="15.6" x14ac:dyDescent="0.3">
      <c r="A47" s="30" t="s">
        <v>232</v>
      </c>
      <c r="B47" s="30"/>
      <c r="C47" s="30"/>
      <c r="D47" s="10"/>
    </row>
    <row r="48" spans="1:4" ht="15.6" x14ac:dyDescent="0.3">
      <c r="A48" s="30"/>
      <c r="B48" s="30"/>
      <c r="C48" s="30"/>
      <c r="D48" s="10"/>
    </row>
    <row r="49" spans="1:4" ht="15.6" x14ac:dyDescent="0.3">
      <c r="A49" s="10"/>
      <c r="B49" s="16" t="s">
        <v>9</v>
      </c>
      <c r="C49" s="10"/>
      <c r="D49" s="10"/>
    </row>
    <row r="50" spans="1:4" ht="27" x14ac:dyDescent="0.3">
      <c r="A50" s="33" t="s">
        <v>74</v>
      </c>
      <c r="B50" s="41">
        <f>B43+0.33</f>
        <v>1.1100000000000001</v>
      </c>
      <c r="D50" s="13" t="s">
        <v>148</v>
      </c>
    </row>
    <row r="51" spans="1:4" ht="27" x14ac:dyDescent="0.3">
      <c r="A51" s="33" t="s">
        <v>76</v>
      </c>
      <c r="B51" s="41">
        <f>B43+0.74</f>
        <v>1.52</v>
      </c>
      <c r="D51" s="13" t="s">
        <v>227</v>
      </c>
    </row>
    <row r="52" spans="1:4" ht="27" x14ac:dyDescent="0.3">
      <c r="A52" s="33" t="s">
        <v>78</v>
      </c>
      <c r="B52" s="41">
        <f>B43+0.47</f>
        <v>1.25</v>
      </c>
      <c r="D52" s="13" t="s">
        <v>228</v>
      </c>
    </row>
    <row r="53" spans="1:4" ht="27" x14ac:dyDescent="0.3">
      <c r="A53" s="33" t="s">
        <v>229</v>
      </c>
      <c r="B53" s="41">
        <f>B43+0.98</f>
        <v>1.76</v>
      </c>
      <c r="D53" s="13" t="s">
        <v>230</v>
      </c>
    </row>
    <row r="54" spans="1:4" ht="27" x14ac:dyDescent="0.3">
      <c r="A54" s="33" t="s">
        <v>188</v>
      </c>
      <c r="B54" s="41">
        <f>B43+0.98</f>
        <v>1.76</v>
      </c>
      <c r="D54" s="13" t="s">
        <v>230</v>
      </c>
    </row>
    <row r="55" spans="1:4" x14ac:dyDescent="0.3">
      <c r="A55" s="66"/>
      <c r="B55" s="66"/>
      <c r="C55" s="66"/>
      <c r="D55" s="66"/>
    </row>
    <row r="56" spans="1:4" ht="15.6" x14ac:dyDescent="0.3">
      <c r="A56" s="34"/>
      <c r="B56" s="63"/>
      <c r="C56" s="10"/>
      <c r="D56" s="13"/>
    </row>
    <row r="57" spans="1:4" ht="15.6" x14ac:dyDescent="0.3">
      <c r="A57" s="34"/>
      <c r="B57" s="63"/>
      <c r="C57" s="10"/>
      <c r="D57" s="30"/>
    </row>
    <row r="58" spans="1:4" ht="15.6" x14ac:dyDescent="0.3">
      <c r="A58" s="14" t="s">
        <v>60</v>
      </c>
      <c r="B58" s="10"/>
      <c r="C58" s="10"/>
      <c r="D58" s="10"/>
    </row>
    <row r="59" spans="1:4" x14ac:dyDescent="0.3">
      <c r="A59" s="35">
        <v>63459143</v>
      </c>
    </row>
    <row r="60" spans="1:4" x14ac:dyDescent="0.3">
      <c r="A60" s="36" t="s">
        <v>61</v>
      </c>
    </row>
  </sheetData>
  <hyperlinks>
    <hyperlink ref="A60" r:id="rId1" xr:uid="{00000000-0004-0000-09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5"/>
  <sheetViews>
    <sheetView workbookViewId="0">
      <selection activeCell="D1" sqref="D1"/>
    </sheetView>
  </sheetViews>
  <sheetFormatPr defaultRowHeight="14.4" x14ac:dyDescent="0.3"/>
  <cols>
    <col min="1" max="1" width="46.33203125" customWidth="1"/>
    <col min="2" max="2" width="12.109375" bestFit="1" customWidth="1"/>
    <col min="4" max="4" width="49" customWidth="1"/>
  </cols>
  <sheetData>
    <row r="1" spans="1:4" ht="15.6" x14ac:dyDescent="0.3">
      <c r="A1" s="10"/>
      <c r="B1" s="10"/>
      <c r="C1" s="10"/>
      <c r="D1" s="11" t="s">
        <v>83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4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7</v>
      </c>
      <c r="B7" s="10"/>
      <c r="C7" s="10"/>
      <c r="D7" s="10"/>
    </row>
    <row r="8" spans="1:4" ht="15.6" x14ac:dyDescent="0.3">
      <c r="A8" s="14"/>
      <c r="B8" s="10"/>
      <c r="C8" s="10"/>
      <c r="D8" s="10"/>
    </row>
    <row r="9" spans="1:4" ht="15.6" x14ac:dyDescent="0.3">
      <c r="A9" s="15" t="s">
        <v>8</v>
      </c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14">
        <v>463.54</v>
      </c>
      <c r="C11" s="19"/>
      <c r="D11" s="17" t="s">
        <v>14</v>
      </c>
    </row>
    <row r="12" spans="1:4" x14ac:dyDescent="0.3">
      <c r="A12" s="18" t="s">
        <v>15</v>
      </c>
      <c r="B12" s="19">
        <v>740.46</v>
      </c>
      <c r="C12" s="19"/>
      <c r="D12" s="17" t="s">
        <v>16</v>
      </c>
    </row>
    <row r="13" spans="1:4" x14ac:dyDescent="0.3">
      <c r="A13" s="18" t="s">
        <v>17</v>
      </c>
      <c r="B13" s="47">
        <v>120.4</v>
      </c>
      <c r="C13" s="19"/>
      <c r="D13" s="17" t="s">
        <v>18</v>
      </c>
    </row>
    <row r="14" spans="1:4" x14ac:dyDescent="0.3">
      <c r="A14" s="18" t="s">
        <v>19</v>
      </c>
      <c r="B14" s="19"/>
      <c r="C14" s="19">
        <v>71.75</v>
      </c>
      <c r="D14" s="17" t="s">
        <v>20</v>
      </c>
    </row>
    <row r="15" spans="1:4" x14ac:dyDescent="0.3">
      <c r="A15" s="18" t="s">
        <v>21</v>
      </c>
      <c r="B15" s="19"/>
      <c r="C15" s="47">
        <v>180.6</v>
      </c>
      <c r="D15" s="17" t="s">
        <v>22</v>
      </c>
    </row>
    <row r="16" spans="1:4" x14ac:dyDescent="0.3">
      <c r="A16" s="20" t="s">
        <v>23</v>
      </c>
      <c r="B16" s="41">
        <v>1324.4</v>
      </c>
      <c r="C16" s="21">
        <v>252.35</v>
      </c>
      <c r="D16" s="13"/>
    </row>
    <row r="17" spans="1:4" x14ac:dyDescent="0.3">
      <c r="A17" s="20"/>
      <c r="B17" s="20"/>
      <c r="C17" s="20"/>
      <c r="D17" s="13"/>
    </row>
    <row r="18" spans="1:4" ht="15.6" x14ac:dyDescent="0.3">
      <c r="A18" s="18" t="s">
        <v>24</v>
      </c>
      <c r="B18" s="45">
        <v>1140</v>
      </c>
      <c r="C18" s="16"/>
      <c r="D18" s="22" t="s">
        <v>25</v>
      </c>
    </row>
    <row r="19" spans="1:4" ht="15.6" x14ac:dyDescent="0.3">
      <c r="A19" s="18" t="s">
        <v>26</v>
      </c>
      <c r="B19" s="37">
        <v>268.93</v>
      </c>
      <c r="C19" s="16"/>
      <c r="D19" s="17" t="s">
        <v>27</v>
      </c>
    </row>
    <row r="20" spans="1:4" ht="15.6" x14ac:dyDescent="0.3">
      <c r="A20" s="18" t="s">
        <v>28</v>
      </c>
      <c r="B20" s="37">
        <v>112.04</v>
      </c>
      <c r="C20" s="16"/>
      <c r="D20" s="17" t="s">
        <v>29</v>
      </c>
    </row>
    <row r="21" spans="1:4" ht="15.6" x14ac:dyDescent="0.3">
      <c r="A21" s="23" t="s">
        <v>30</v>
      </c>
      <c r="B21" s="37">
        <v>49.48</v>
      </c>
      <c r="C21" s="24"/>
      <c r="D21" s="25" t="s">
        <v>31</v>
      </c>
    </row>
    <row r="22" spans="1:4" ht="15.6" x14ac:dyDescent="0.3">
      <c r="A22" s="18" t="s">
        <v>32</v>
      </c>
      <c r="B22" s="37">
        <v>49.17</v>
      </c>
      <c r="C22" s="16"/>
      <c r="D22" s="17" t="s">
        <v>33</v>
      </c>
    </row>
    <row r="23" spans="1:4" ht="15.6" x14ac:dyDescent="0.3">
      <c r="A23" s="26" t="s">
        <v>34</v>
      </c>
      <c r="B23" s="38">
        <v>0</v>
      </c>
      <c r="C23" s="16"/>
      <c r="D23" s="17" t="s">
        <v>35</v>
      </c>
    </row>
    <row r="24" spans="1:4" ht="15.6" x14ac:dyDescent="0.3">
      <c r="A24" s="26" t="s">
        <v>36</v>
      </c>
      <c r="B24" s="38">
        <v>0.35</v>
      </c>
      <c r="C24" s="16"/>
      <c r="D24" s="17" t="s">
        <v>37</v>
      </c>
    </row>
    <row r="25" spans="1:4" ht="15.6" x14ac:dyDescent="0.3">
      <c r="A25" s="28" t="s">
        <v>23</v>
      </c>
      <c r="B25" s="40">
        <v>1619.97</v>
      </c>
      <c r="C25" s="28">
        <v>0</v>
      </c>
      <c r="D25" s="13"/>
    </row>
    <row r="26" spans="1:4" ht="15.6" x14ac:dyDescent="0.3">
      <c r="A26" s="29"/>
      <c r="B26" s="29"/>
      <c r="C26" s="29"/>
      <c r="D26" s="30"/>
    </row>
    <row r="27" spans="1:4" ht="15.6" x14ac:dyDescent="0.3">
      <c r="A27" s="15" t="s">
        <v>38</v>
      </c>
      <c r="B27" s="10"/>
      <c r="C27" s="10"/>
      <c r="D27" s="30"/>
    </row>
    <row r="28" spans="1:4" ht="15.6" x14ac:dyDescent="0.3">
      <c r="A28" s="10"/>
      <c r="B28" s="16" t="s">
        <v>9</v>
      </c>
      <c r="C28" s="16"/>
      <c r="D28" s="17" t="s">
        <v>10</v>
      </c>
    </row>
    <row r="29" spans="1:4" ht="15.6" x14ac:dyDescent="0.3">
      <c r="A29" s="18" t="s">
        <v>39</v>
      </c>
      <c r="B29" s="37">
        <v>31.58</v>
      </c>
      <c r="C29" s="16"/>
      <c r="D29" s="17" t="s">
        <v>35</v>
      </c>
    </row>
    <row r="30" spans="1:4" ht="15.6" x14ac:dyDescent="0.3">
      <c r="A30" s="18" t="s">
        <v>40</v>
      </c>
      <c r="B30" s="37">
        <v>10.17</v>
      </c>
      <c r="C30" s="16"/>
      <c r="D30" s="17" t="s">
        <v>35</v>
      </c>
    </row>
    <row r="31" spans="1:4" ht="15.6" x14ac:dyDescent="0.3">
      <c r="A31" s="18" t="s">
        <v>41</v>
      </c>
      <c r="B31" s="37">
        <v>56.13</v>
      </c>
      <c r="C31" s="16"/>
      <c r="D31" s="17" t="s">
        <v>35</v>
      </c>
    </row>
    <row r="32" spans="1:4" ht="15.6" x14ac:dyDescent="0.3">
      <c r="A32" s="18" t="s">
        <v>42</v>
      </c>
      <c r="B32" s="37">
        <v>52.84</v>
      </c>
      <c r="C32" s="16"/>
      <c r="D32" s="17" t="s">
        <v>35</v>
      </c>
    </row>
    <row r="33" spans="1:4" ht="15.6" x14ac:dyDescent="0.3">
      <c r="A33" s="18" t="s">
        <v>43</v>
      </c>
      <c r="B33" s="45">
        <v>10.1</v>
      </c>
      <c r="C33" s="16"/>
      <c r="D33" s="17" t="s">
        <v>35</v>
      </c>
    </row>
    <row r="34" spans="1:4" ht="15.6" x14ac:dyDescent="0.3">
      <c r="A34" s="18" t="s">
        <v>44</v>
      </c>
      <c r="B34" s="37">
        <v>20.05</v>
      </c>
      <c r="C34" s="16"/>
      <c r="D34" s="17" t="s">
        <v>45</v>
      </c>
    </row>
    <row r="35" spans="1:4" ht="15.6" x14ac:dyDescent="0.3">
      <c r="A35" s="18" t="s">
        <v>26</v>
      </c>
      <c r="B35" s="37">
        <v>4.7300000000000004</v>
      </c>
      <c r="C35" s="16"/>
      <c r="D35" s="17" t="s">
        <v>27</v>
      </c>
    </row>
    <row r="36" spans="1:4" ht="15.6" x14ac:dyDescent="0.3">
      <c r="A36" s="18" t="s">
        <v>46</v>
      </c>
      <c r="B36" s="37">
        <v>1.97</v>
      </c>
      <c r="C36" s="16"/>
      <c r="D36" s="17" t="s">
        <v>29</v>
      </c>
    </row>
    <row r="37" spans="1:4" ht="15.6" x14ac:dyDescent="0.3">
      <c r="A37" s="23" t="s">
        <v>47</v>
      </c>
      <c r="B37" s="37">
        <v>52.19</v>
      </c>
      <c r="C37" s="24"/>
      <c r="D37" s="17" t="s">
        <v>35</v>
      </c>
    </row>
    <row r="38" spans="1:4" ht="15.6" x14ac:dyDescent="0.3">
      <c r="A38" s="31" t="s">
        <v>48</v>
      </c>
      <c r="B38" s="28">
        <v>239.77</v>
      </c>
      <c r="C38" s="28">
        <v>0</v>
      </c>
      <c r="D38" s="30"/>
    </row>
    <row r="39" spans="1:4" ht="15.6" x14ac:dyDescent="0.3">
      <c r="A39" s="10"/>
      <c r="B39" s="10"/>
      <c r="C39" s="10"/>
      <c r="D39" s="10"/>
    </row>
    <row r="40" spans="1:4" ht="30.6" x14ac:dyDescent="0.3">
      <c r="A40" s="32" t="s">
        <v>49</v>
      </c>
      <c r="B40" s="10">
        <v>1859.74</v>
      </c>
      <c r="C40" s="10"/>
      <c r="D40" s="10"/>
    </row>
    <row r="41" spans="1:4" ht="30.6" x14ac:dyDescent="0.3">
      <c r="A41" s="32" t="s">
        <v>50</v>
      </c>
      <c r="B41" s="10">
        <v>0.95</v>
      </c>
      <c r="C41" s="10"/>
      <c r="D41" s="10"/>
    </row>
    <row r="42" spans="1:4" ht="15.6" x14ac:dyDescent="0.3">
      <c r="A42" s="32"/>
      <c r="B42" s="10"/>
      <c r="C42" s="10"/>
      <c r="D42" s="10"/>
    </row>
    <row r="43" spans="1:4" ht="15.6" x14ac:dyDescent="0.3">
      <c r="A43" s="30" t="s">
        <v>51</v>
      </c>
      <c r="B43" s="30"/>
      <c r="C43" s="30"/>
      <c r="D43" s="10"/>
    </row>
    <row r="44" spans="1:4" ht="15.6" x14ac:dyDescent="0.3">
      <c r="A44" s="30" t="s">
        <v>52</v>
      </c>
      <c r="B44" s="30"/>
      <c r="C44" s="30"/>
      <c r="D44" s="10"/>
    </row>
    <row r="45" spans="1:4" ht="15.6" x14ac:dyDescent="0.3">
      <c r="A45" s="30" t="s">
        <v>53</v>
      </c>
      <c r="B45" s="30"/>
      <c r="C45" s="30"/>
      <c r="D45" s="10"/>
    </row>
    <row r="46" spans="1:4" ht="15.6" x14ac:dyDescent="0.3">
      <c r="A46" s="10"/>
      <c r="B46" s="16" t="s">
        <v>9</v>
      </c>
      <c r="C46" s="10"/>
      <c r="D46" s="10"/>
    </row>
    <row r="47" spans="1:4" ht="27" x14ac:dyDescent="0.3">
      <c r="A47" s="33" t="s">
        <v>54</v>
      </c>
      <c r="B47" s="41">
        <v>1.3</v>
      </c>
      <c r="C47" s="10"/>
      <c r="D47" s="13" t="s">
        <v>55</v>
      </c>
    </row>
    <row r="48" spans="1:4" ht="27" x14ac:dyDescent="0.3">
      <c r="A48" s="33" t="s">
        <v>56</v>
      </c>
      <c r="B48" s="21">
        <v>1.81</v>
      </c>
      <c r="C48" s="14"/>
      <c r="D48" s="13" t="s">
        <v>57</v>
      </c>
    </row>
    <row r="49" spans="1:4" ht="27" x14ac:dyDescent="0.3">
      <c r="A49" s="33" t="s">
        <v>58</v>
      </c>
      <c r="B49" s="21">
        <v>1.81</v>
      </c>
      <c r="C49" s="14"/>
      <c r="D49" s="13" t="s">
        <v>57</v>
      </c>
    </row>
    <row r="50" spans="1:4" ht="27" x14ac:dyDescent="0.3">
      <c r="A50" s="33" t="s">
        <v>59</v>
      </c>
      <c r="B50" s="21">
        <v>1.81</v>
      </c>
      <c r="C50" s="14"/>
      <c r="D50" s="13" t="s">
        <v>57</v>
      </c>
    </row>
    <row r="51" spans="1:4" ht="15.6" x14ac:dyDescent="0.3">
      <c r="A51" s="34"/>
      <c r="B51" s="15"/>
      <c r="C51" s="10"/>
      <c r="D51" s="30"/>
    </row>
    <row r="52" spans="1:4" ht="15.6" x14ac:dyDescent="0.3">
      <c r="A52" s="14" t="s">
        <v>60</v>
      </c>
      <c r="B52" s="10"/>
      <c r="C52" s="10"/>
      <c r="D52" s="10"/>
    </row>
    <row r="53" spans="1:4" x14ac:dyDescent="0.3">
      <c r="A53" s="35">
        <v>63459143</v>
      </c>
      <c r="B53" s="14"/>
      <c r="C53" s="14"/>
      <c r="D53" s="14"/>
    </row>
    <row r="54" spans="1:4" x14ac:dyDescent="0.3">
      <c r="A54" s="36" t="s">
        <v>61</v>
      </c>
      <c r="B54" s="14"/>
      <c r="C54" s="14"/>
      <c r="D54" s="14"/>
    </row>
    <row r="55" spans="1:4" x14ac:dyDescent="0.3">
      <c r="A55" s="14"/>
      <c r="B55" s="14"/>
      <c r="C55" s="14"/>
      <c r="D55" s="14"/>
    </row>
  </sheetData>
  <hyperlinks>
    <hyperlink ref="A54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0"/>
  <sheetViews>
    <sheetView workbookViewId="0">
      <selection activeCell="I55" sqref="I55"/>
    </sheetView>
  </sheetViews>
  <sheetFormatPr defaultRowHeight="14.4" x14ac:dyDescent="0.3"/>
  <cols>
    <col min="1" max="1" width="46" customWidth="1"/>
    <col min="2" max="2" width="9.5546875" bestFit="1" customWidth="1"/>
    <col min="4" max="4" width="50" customWidth="1"/>
  </cols>
  <sheetData>
    <row r="1" spans="1:4" ht="15.6" x14ac:dyDescent="0.3">
      <c r="A1" s="10"/>
      <c r="B1" s="10"/>
      <c r="C1" s="10"/>
      <c r="D1" s="11" t="s">
        <v>84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62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42" t="s">
        <v>63</v>
      </c>
      <c r="B7" s="13">
        <v>7410</v>
      </c>
      <c r="C7" s="10"/>
      <c r="D7" s="10"/>
    </row>
    <row r="8" spans="1:4" ht="15.6" x14ac:dyDescent="0.3">
      <c r="A8" s="10" t="s">
        <v>8</v>
      </c>
      <c r="B8" s="10"/>
      <c r="C8" s="10"/>
      <c r="D8" s="10"/>
    </row>
    <row r="9" spans="1:4" ht="15.6" x14ac:dyDescent="0.3">
      <c r="A9" s="10"/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14">
        <v>1560</v>
      </c>
      <c r="C11" s="19"/>
      <c r="D11" s="46" t="s">
        <v>85</v>
      </c>
    </row>
    <row r="12" spans="1:4" x14ac:dyDescent="0.3">
      <c r="A12" s="18" t="s">
        <v>64</v>
      </c>
      <c r="B12" s="19">
        <v>2347</v>
      </c>
      <c r="C12" s="19"/>
      <c r="D12" s="46" t="s">
        <v>86</v>
      </c>
    </row>
    <row r="13" spans="1:4" x14ac:dyDescent="0.3">
      <c r="A13" s="18" t="s">
        <v>65</v>
      </c>
      <c r="B13" s="19">
        <v>425</v>
      </c>
      <c r="C13" s="19"/>
      <c r="D13" s="46" t="s">
        <v>87</v>
      </c>
    </row>
    <row r="14" spans="1:4" x14ac:dyDescent="0.3">
      <c r="A14" s="18" t="s">
        <v>19</v>
      </c>
      <c r="B14" s="19"/>
      <c r="C14" s="19">
        <v>180</v>
      </c>
      <c r="D14" s="46" t="s">
        <v>88</v>
      </c>
    </row>
    <row r="15" spans="1:4" x14ac:dyDescent="0.3">
      <c r="A15" s="18" t="s">
        <v>21</v>
      </c>
      <c r="B15" s="19"/>
      <c r="C15" s="19">
        <v>768</v>
      </c>
      <c r="D15" s="46" t="s">
        <v>89</v>
      </c>
    </row>
    <row r="16" spans="1:4" x14ac:dyDescent="0.3">
      <c r="A16" s="18" t="s">
        <v>66</v>
      </c>
      <c r="B16" s="19"/>
      <c r="C16" s="19">
        <v>240</v>
      </c>
      <c r="D16" s="46" t="s">
        <v>90</v>
      </c>
    </row>
    <row r="17" spans="1:4" x14ac:dyDescent="0.3">
      <c r="A17" s="20" t="s">
        <v>23</v>
      </c>
      <c r="B17" s="41">
        <v>4332</v>
      </c>
      <c r="C17" s="41">
        <v>1188</v>
      </c>
      <c r="D17" s="13"/>
    </row>
    <row r="18" spans="1:4" x14ac:dyDescent="0.3">
      <c r="A18" s="20"/>
      <c r="B18" s="20"/>
      <c r="C18" s="20"/>
      <c r="D18" s="13"/>
    </row>
    <row r="19" spans="1:4" ht="15.6" x14ac:dyDescent="0.3">
      <c r="A19" s="18" t="s">
        <v>24</v>
      </c>
      <c r="B19" s="45">
        <v>3265</v>
      </c>
      <c r="C19" s="16"/>
      <c r="D19" s="22" t="s">
        <v>67</v>
      </c>
    </row>
    <row r="20" spans="1:4" ht="15.6" x14ac:dyDescent="0.3">
      <c r="A20" s="18" t="s">
        <v>26</v>
      </c>
      <c r="B20" s="37">
        <v>770.21</v>
      </c>
      <c r="C20" s="16"/>
      <c r="D20" s="17" t="s">
        <v>27</v>
      </c>
    </row>
    <row r="21" spans="1:4" ht="15.6" x14ac:dyDescent="0.3">
      <c r="A21" s="18" t="s">
        <v>28</v>
      </c>
      <c r="B21" s="45">
        <v>320.89999999999998</v>
      </c>
      <c r="C21" s="16"/>
      <c r="D21" s="17" t="s">
        <v>29</v>
      </c>
    </row>
    <row r="22" spans="1:4" ht="15.6" x14ac:dyDescent="0.3">
      <c r="A22" s="23" t="s">
        <v>30</v>
      </c>
      <c r="B22" s="37">
        <v>103.08</v>
      </c>
      <c r="C22" s="24"/>
      <c r="D22" s="25" t="s">
        <v>31</v>
      </c>
    </row>
    <row r="23" spans="1:4" ht="15.6" x14ac:dyDescent="0.3">
      <c r="A23" s="18" t="s">
        <v>32</v>
      </c>
      <c r="B23" s="37">
        <v>33.33</v>
      </c>
      <c r="C23" s="16"/>
      <c r="D23" s="17" t="s">
        <v>33</v>
      </c>
    </row>
    <row r="24" spans="1:4" ht="15.6" x14ac:dyDescent="0.3">
      <c r="A24" s="26" t="s">
        <v>34</v>
      </c>
      <c r="B24" s="38">
        <v>0</v>
      </c>
      <c r="C24" s="16"/>
      <c r="D24" s="17" t="s">
        <v>68</v>
      </c>
    </row>
    <row r="25" spans="1:4" ht="15.6" x14ac:dyDescent="0.3">
      <c r="A25" s="26" t="s">
        <v>36</v>
      </c>
      <c r="B25" s="38">
        <v>2.75</v>
      </c>
      <c r="C25" s="16"/>
      <c r="D25" s="17" t="s">
        <v>69</v>
      </c>
    </row>
    <row r="26" spans="1:4" ht="15.6" x14ac:dyDescent="0.3">
      <c r="A26" s="28" t="s">
        <v>23</v>
      </c>
      <c r="B26" s="40">
        <v>4495.277583</v>
      </c>
      <c r="C26" s="28">
        <v>0</v>
      </c>
      <c r="D26" s="13"/>
    </row>
    <row r="27" spans="1:4" ht="15.6" x14ac:dyDescent="0.3">
      <c r="A27" s="29"/>
      <c r="B27" s="29"/>
      <c r="C27" s="29"/>
      <c r="D27" s="30"/>
    </row>
    <row r="28" spans="1:4" ht="15.6" x14ac:dyDescent="0.3">
      <c r="A28" s="10" t="s">
        <v>38</v>
      </c>
      <c r="B28" s="10"/>
      <c r="C28" s="10"/>
      <c r="D28" s="30"/>
    </row>
    <row r="29" spans="1:4" ht="15.6" x14ac:dyDescent="0.3">
      <c r="A29" s="10"/>
      <c r="B29" s="16" t="s">
        <v>9</v>
      </c>
      <c r="C29" s="16"/>
      <c r="D29" s="17" t="s">
        <v>10</v>
      </c>
    </row>
    <row r="30" spans="1:4" ht="15.6" x14ac:dyDescent="0.3">
      <c r="A30" s="18" t="s">
        <v>70</v>
      </c>
      <c r="B30" s="37">
        <v>123.34</v>
      </c>
      <c r="C30" s="16"/>
      <c r="D30" s="17" t="s">
        <v>68</v>
      </c>
    </row>
    <row r="31" spans="1:4" ht="15.6" x14ac:dyDescent="0.3">
      <c r="A31" s="18" t="s">
        <v>40</v>
      </c>
      <c r="B31" s="37">
        <v>25.07</v>
      </c>
      <c r="C31" s="16"/>
      <c r="D31" s="17" t="s">
        <v>68</v>
      </c>
    </row>
    <row r="32" spans="1:4" ht="15.6" x14ac:dyDescent="0.3">
      <c r="A32" s="18" t="s">
        <v>41</v>
      </c>
      <c r="B32" s="37">
        <v>89.88</v>
      </c>
      <c r="C32" s="16"/>
      <c r="D32" s="17" t="s">
        <v>68</v>
      </c>
    </row>
    <row r="33" spans="1:4" ht="15.6" x14ac:dyDescent="0.3">
      <c r="A33" s="18" t="s">
        <v>42</v>
      </c>
      <c r="B33" s="37">
        <v>12.17</v>
      </c>
      <c r="C33" s="16"/>
      <c r="D33" s="17" t="s">
        <v>68</v>
      </c>
    </row>
    <row r="34" spans="1:4" ht="15.6" x14ac:dyDescent="0.3">
      <c r="A34" s="18" t="s">
        <v>43</v>
      </c>
      <c r="B34" s="37">
        <v>10.99</v>
      </c>
      <c r="C34" s="16"/>
      <c r="D34" s="17" t="s">
        <v>68</v>
      </c>
    </row>
    <row r="35" spans="1:4" ht="15.6" x14ac:dyDescent="0.3">
      <c r="A35" s="18" t="s">
        <v>44</v>
      </c>
      <c r="B35" s="45">
        <v>85</v>
      </c>
      <c r="C35" s="16"/>
      <c r="D35" s="17" t="s">
        <v>71</v>
      </c>
    </row>
    <row r="36" spans="1:4" ht="15.6" x14ac:dyDescent="0.3">
      <c r="A36" s="18" t="s">
        <v>26</v>
      </c>
      <c r="B36" s="37">
        <v>20.05</v>
      </c>
      <c r="C36" s="16"/>
      <c r="D36" s="17" t="s">
        <v>27</v>
      </c>
    </row>
    <row r="37" spans="1:4" ht="15.6" x14ac:dyDescent="0.3">
      <c r="A37" s="18" t="s">
        <v>46</v>
      </c>
      <c r="B37" s="37">
        <v>8.35</v>
      </c>
      <c r="C37" s="16"/>
      <c r="D37" s="17" t="s">
        <v>29</v>
      </c>
    </row>
    <row r="38" spans="1:4" ht="15.6" x14ac:dyDescent="0.3">
      <c r="A38" s="23" t="s">
        <v>47</v>
      </c>
      <c r="B38" s="45">
        <v>234.3</v>
      </c>
      <c r="C38" s="24"/>
      <c r="D38" s="17" t="s">
        <v>68</v>
      </c>
    </row>
    <row r="39" spans="1:4" ht="15.6" x14ac:dyDescent="0.3">
      <c r="A39" s="31" t="s">
        <v>48</v>
      </c>
      <c r="B39" s="28">
        <v>609.15062999999998</v>
      </c>
      <c r="C39" s="28">
        <v>0</v>
      </c>
      <c r="D39" s="30"/>
    </row>
    <row r="40" spans="1:4" ht="15.6" x14ac:dyDescent="0.3">
      <c r="A40" s="10"/>
      <c r="B40" s="10"/>
      <c r="C40" s="10"/>
      <c r="D40" s="10"/>
    </row>
    <row r="41" spans="1:4" ht="30.6" x14ac:dyDescent="0.3">
      <c r="A41" s="32" t="s">
        <v>49</v>
      </c>
      <c r="B41" s="44">
        <v>5104.43</v>
      </c>
      <c r="C41" s="10"/>
      <c r="D41" s="10"/>
    </row>
    <row r="42" spans="1:4" ht="30.6" x14ac:dyDescent="0.3">
      <c r="A42" s="32" t="s">
        <v>50</v>
      </c>
      <c r="B42" s="10">
        <v>0.69</v>
      </c>
      <c r="C42" s="10"/>
      <c r="D42" s="10"/>
    </row>
    <row r="43" spans="1:4" ht="15.6" x14ac:dyDescent="0.3">
      <c r="A43" s="32"/>
      <c r="B43" s="10"/>
      <c r="C43" s="10"/>
      <c r="D43" s="10"/>
    </row>
    <row r="44" spans="1:4" ht="15.6" x14ac:dyDescent="0.3">
      <c r="A44" s="30" t="s">
        <v>51</v>
      </c>
      <c r="B44" s="30"/>
      <c r="C44" s="30"/>
      <c r="D44" s="10"/>
    </row>
    <row r="45" spans="1:4" ht="15.6" x14ac:dyDescent="0.3">
      <c r="A45" s="30" t="s">
        <v>72</v>
      </c>
      <c r="B45" s="30"/>
      <c r="C45" s="30"/>
      <c r="D45" s="10"/>
    </row>
    <row r="46" spans="1:4" ht="15.6" x14ac:dyDescent="0.3">
      <c r="A46" s="30" t="s">
        <v>73</v>
      </c>
      <c r="B46" s="30"/>
      <c r="C46" s="30"/>
      <c r="D46" s="10"/>
    </row>
    <row r="47" spans="1:4" ht="15.6" x14ac:dyDescent="0.3">
      <c r="A47" s="30"/>
      <c r="B47" s="30"/>
      <c r="C47" s="30"/>
      <c r="D47" s="10"/>
    </row>
    <row r="48" spans="1:4" ht="15.6" x14ac:dyDescent="0.3">
      <c r="A48" s="10"/>
      <c r="B48" s="16" t="s">
        <v>9</v>
      </c>
      <c r="C48" s="10"/>
      <c r="D48" s="10"/>
    </row>
    <row r="49" spans="1:4" ht="27" x14ac:dyDescent="0.3">
      <c r="A49" s="33" t="s">
        <v>74</v>
      </c>
      <c r="B49" s="21">
        <v>0.99</v>
      </c>
      <c r="C49" s="14"/>
      <c r="D49" s="13" t="s">
        <v>75</v>
      </c>
    </row>
    <row r="50" spans="1:4" ht="27" x14ac:dyDescent="0.3">
      <c r="A50" s="33" t="s">
        <v>76</v>
      </c>
      <c r="B50" s="21">
        <v>1.49</v>
      </c>
      <c r="C50" s="14"/>
      <c r="D50" s="13" t="s">
        <v>77</v>
      </c>
    </row>
    <row r="51" spans="1:4" ht="27" x14ac:dyDescent="0.3">
      <c r="A51" s="33" t="s">
        <v>78</v>
      </c>
      <c r="B51" s="21">
        <v>1.0900000000000001</v>
      </c>
      <c r="C51" s="14"/>
      <c r="D51" s="13" t="s">
        <v>79</v>
      </c>
    </row>
    <row r="52" spans="1:4" ht="27" x14ac:dyDescent="0.3">
      <c r="A52" s="33" t="s">
        <v>80</v>
      </c>
      <c r="B52" s="21">
        <v>1.54</v>
      </c>
      <c r="C52" s="14"/>
      <c r="D52" s="13" t="s">
        <v>81</v>
      </c>
    </row>
    <row r="53" spans="1:4" ht="27" x14ac:dyDescent="0.3">
      <c r="A53" s="33" t="s">
        <v>82</v>
      </c>
      <c r="B53" s="21">
        <v>1.54</v>
      </c>
      <c r="C53" s="14"/>
      <c r="D53" s="13" t="s">
        <v>81</v>
      </c>
    </row>
    <row r="54" spans="1:4" x14ac:dyDescent="0.3">
      <c r="A54" s="43"/>
      <c r="B54" s="43"/>
      <c r="C54" s="43"/>
      <c r="D54" s="43"/>
    </row>
    <row r="55" spans="1:4" ht="15.6" x14ac:dyDescent="0.3">
      <c r="A55" s="34"/>
      <c r="B55" s="15"/>
      <c r="C55" s="10"/>
      <c r="D55" s="13"/>
    </row>
    <row r="56" spans="1:4" ht="15.6" x14ac:dyDescent="0.3">
      <c r="A56" s="34"/>
      <c r="B56" s="15"/>
      <c r="C56" s="10"/>
      <c r="D56" s="30"/>
    </row>
    <row r="57" spans="1:4" ht="15.6" x14ac:dyDescent="0.3">
      <c r="A57" s="14" t="s">
        <v>60</v>
      </c>
      <c r="B57" s="10"/>
      <c r="C57" s="10"/>
      <c r="D57" s="10"/>
    </row>
    <row r="58" spans="1:4" x14ac:dyDescent="0.3">
      <c r="A58" s="35">
        <v>63459143</v>
      </c>
      <c r="B58" s="14"/>
      <c r="C58" s="14"/>
      <c r="D58" s="14"/>
    </row>
    <row r="59" spans="1:4" x14ac:dyDescent="0.3">
      <c r="A59" s="36" t="s">
        <v>61</v>
      </c>
      <c r="B59" s="14"/>
      <c r="C59" s="14"/>
      <c r="D59" s="14"/>
    </row>
    <row r="60" spans="1:4" x14ac:dyDescent="0.3">
      <c r="A60" s="14"/>
      <c r="B60" s="14"/>
      <c r="C60" s="14"/>
      <c r="D60" s="14"/>
    </row>
  </sheetData>
  <hyperlinks>
    <hyperlink ref="A59" r:id="rId1" xr:uid="{00000000-0004-0000-0200-000000000000}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6"/>
  <sheetViews>
    <sheetView workbookViewId="0">
      <selection activeCell="F16" sqref="F16"/>
    </sheetView>
  </sheetViews>
  <sheetFormatPr defaultRowHeight="14.4" x14ac:dyDescent="0.3"/>
  <cols>
    <col min="1" max="1" width="47.109375" customWidth="1"/>
    <col min="2" max="2" width="9.5546875" bestFit="1" customWidth="1"/>
    <col min="4" max="4" width="50.44140625" customWidth="1"/>
  </cols>
  <sheetData>
    <row r="1" spans="1:4" ht="15.6" x14ac:dyDescent="0.3">
      <c r="A1" s="10"/>
      <c r="B1" s="10"/>
      <c r="C1" s="10"/>
      <c r="D1" s="11" t="s">
        <v>112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91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92</v>
      </c>
      <c r="B7" s="14">
        <v>5864</v>
      </c>
      <c r="C7" s="14"/>
      <c r="D7" s="10"/>
    </row>
    <row r="8" spans="1:4" ht="15.6" x14ac:dyDescent="0.3">
      <c r="A8" s="14"/>
      <c r="B8" s="10"/>
      <c r="C8" s="10"/>
      <c r="D8" s="10"/>
    </row>
    <row r="9" spans="1:4" ht="15.6" x14ac:dyDescent="0.3">
      <c r="A9" s="15" t="s">
        <v>8</v>
      </c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27" t="s">
        <v>11</v>
      </c>
      <c r="C10" s="27" t="s">
        <v>12</v>
      </c>
      <c r="D10" s="17"/>
    </row>
    <row r="11" spans="1:4" ht="15.6" x14ac:dyDescent="0.3">
      <c r="A11" s="18" t="s">
        <v>13</v>
      </c>
      <c r="B11" s="19">
        <v>1309.48</v>
      </c>
      <c r="C11" s="16"/>
      <c r="D11" s="48" t="s">
        <v>93</v>
      </c>
    </row>
    <row r="12" spans="1:4" x14ac:dyDescent="0.3">
      <c r="A12" s="49" t="s">
        <v>94</v>
      </c>
      <c r="B12" s="14">
        <v>456.76</v>
      </c>
      <c r="C12" s="50"/>
      <c r="D12" s="48" t="s">
        <v>95</v>
      </c>
    </row>
    <row r="13" spans="1:4" x14ac:dyDescent="0.3">
      <c r="A13" s="18" t="s">
        <v>65</v>
      </c>
      <c r="B13" s="19">
        <v>207.48</v>
      </c>
      <c r="C13" s="19"/>
      <c r="D13" s="17" t="s">
        <v>96</v>
      </c>
    </row>
    <row r="14" spans="1:4" x14ac:dyDescent="0.3">
      <c r="A14" s="18" t="s">
        <v>19</v>
      </c>
      <c r="B14" s="19"/>
      <c r="C14" s="19">
        <v>408.33</v>
      </c>
      <c r="D14" s="17" t="s">
        <v>97</v>
      </c>
    </row>
    <row r="15" spans="1:4" x14ac:dyDescent="0.3">
      <c r="A15" s="18" t="s">
        <v>21</v>
      </c>
      <c r="B15" s="19"/>
      <c r="C15" s="19">
        <v>1139.03</v>
      </c>
      <c r="D15" s="17" t="s">
        <v>98</v>
      </c>
    </row>
    <row r="16" spans="1:4" x14ac:dyDescent="0.3">
      <c r="A16" s="18" t="s">
        <v>66</v>
      </c>
      <c r="B16" s="19"/>
      <c r="C16" s="19">
        <v>595.72</v>
      </c>
      <c r="D16" s="17" t="s">
        <v>99</v>
      </c>
    </row>
    <row r="17" spans="1:4" x14ac:dyDescent="0.3">
      <c r="A17" s="20" t="s">
        <v>23</v>
      </c>
      <c r="B17" s="21">
        <v>1973.72</v>
      </c>
      <c r="C17" s="21">
        <v>2143.08</v>
      </c>
      <c r="D17" s="13"/>
    </row>
    <row r="18" spans="1:4" x14ac:dyDescent="0.3">
      <c r="A18" s="20"/>
      <c r="B18" s="20"/>
      <c r="C18" s="20"/>
      <c r="D18" s="13"/>
    </row>
    <row r="19" spans="1:4" ht="15.6" x14ac:dyDescent="0.3">
      <c r="A19" s="18" t="s">
        <v>24</v>
      </c>
      <c r="B19" s="45">
        <v>2324</v>
      </c>
      <c r="C19" s="16"/>
      <c r="D19" s="22" t="s">
        <v>100</v>
      </c>
    </row>
    <row r="20" spans="1:4" ht="15.6" x14ac:dyDescent="0.3">
      <c r="A20" s="18" t="s">
        <v>26</v>
      </c>
      <c r="B20" s="45">
        <v>548.23</v>
      </c>
      <c r="C20" s="16"/>
      <c r="D20" s="17" t="s">
        <v>27</v>
      </c>
    </row>
    <row r="21" spans="1:4" ht="15.6" x14ac:dyDescent="0.3">
      <c r="A21" s="18" t="s">
        <v>28</v>
      </c>
      <c r="B21" s="45">
        <v>228.41</v>
      </c>
      <c r="C21" s="16"/>
      <c r="D21" s="17" t="s">
        <v>29</v>
      </c>
    </row>
    <row r="22" spans="1:4" ht="15.6" x14ac:dyDescent="0.3">
      <c r="A22" s="23" t="s">
        <v>30</v>
      </c>
      <c r="B22" s="45">
        <v>121.1</v>
      </c>
      <c r="C22" s="24"/>
      <c r="D22" s="25" t="s">
        <v>101</v>
      </c>
    </row>
    <row r="23" spans="1:4" ht="15.6" x14ac:dyDescent="0.3">
      <c r="A23" s="18" t="s">
        <v>32</v>
      </c>
      <c r="B23" s="45">
        <v>20.25</v>
      </c>
      <c r="C23" s="16"/>
      <c r="D23" s="17" t="s">
        <v>33</v>
      </c>
    </row>
    <row r="24" spans="1:4" ht="15.6" x14ac:dyDescent="0.3">
      <c r="A24" s="26" t="s">
        <v>36</v>
      </c>
      <c r="B24" s="51">
        <v>1.1000000000000001</v>
      </c>
      <c r="C24" s="16"/>
      <c r="D24" s="17" t="s">
        <v>102</v>
      </c>
    </row>
    <row r="25" spans="1:4" ht="15.6" x14ac:dyDescent="0.3">
      <c r="A25" s="28" t="s">
        <v>23</v>
      </c>
      <c r="B25" s="52">
        <v>3243.09</v>
      </c>
      <c r="C25" s="28">
        <v>0</v>
      </c>
      <c r="D25" s="13"/>
    </row>
    <row r="26" spans="1:4" ht="15.6" x14ac:dyDescent="0.3">
      <c r="A26" s="29"/>
      <c r="B26" s="29"/>
      <c r="C26" s="29"/>
      <c r="D26" s="30"/>
    </row>
    <row r="27" spans="1:4" ht="15.6" x14ac:dyDescent="0.3">
      <c r="A27" s="15" t="s">
        <v>38</v>
      </c>
      <c r="B27" s="16" t="s">
        <v>9</v>
      </c>
      <c r="C27" s="16"/>
      <c r="D27" s="17" t="s">
        <v>10</v>
      </c>
    </row>
    <row r="28" spans="1:4" ht="15.6" x14ac:dyDescent="0.3">
      <c r="A28" s="18" t="s">
        <v>70</v>
      </c>
      <c r="B28" s="45">
        <v>133.61000000000001</v>
      </c>
      <c r="C28" s="16"/>
      <c r="D28" s="17" t="s">
        <v>103</v>
      </c>
    </row>
    <row r="29" spans="1:4" ht="15.6" x14ac:dyDescent="0.3">
      <c r="A29" s="18" t="s">
        <v>40</v>
      </c>
      <c r="B29" s="45">
        <v>17.670000000000002</v>
      </c>
      <c r="C29" s="16"/>
      <c r="D29" s="17" t="s">
        <v>103</v>
      </c>
    </row>
    <row r="30" spans="1:4" ht="15.6" x14ac:dyDescent="0.3">
      <c r="A30" s="18" t="s">
        <v>41</v>
      </c>
      <c r="B30" s="45">
        <v>111.93</v>
      </c>
      <c r="C30" s="16"/>
      <c r="D30" s="17" t="s">
        <v>103</v>
      </c>
    </row>
    <row r="31" spans="1:4" ht="15.6" x14ac:dyDescent="0.3">
      <c r="A31" s="18" t="s">
        <v>42</v>
      </c>
      <c r="B31" s="45">
        <v>34.44</v>
      </c>
      <c r="C31" s="16"/>
      <c r="D31" s="17" t="s">
        <v>103</v>
      </c>
    </row>
    <row r="32" spans="1:4" ht="15.6" x14ac:dyDescent="0.3">
      <c r="A32" s="18" t="s">
        <v>43</v>
      </c>
      <c r="B32" s="45">
        <v>8.68</v>
      </c>
      <c r="C32" s="16"/>
      <c r="D32" s="17" t="s">
        <v>103</v>
      </c>
    </row>
    <row r="33" spans="1:4" ht="15.6" x14ac:dyDescent="0.3">
      <c r="A33" s="18" t="s">
        <v>44</v>
      </c>
      <c r="B33" s="45">
        <v>103.2</v>
      </c>
      <c r="C33" s="16"/>
      <c r="D33" s="17" t="s">
        <v>104</v>
      </c>
    </row>
    <row r="34" spans="1:4" ht="15.6" x14ac:dyDescent="0.3">
      <c r="A34" s="18" t="s">
        <v>26</v>
      </c>
      <c r="B34" s="45">
        <v>24.34</v>
      </c>
      <c r="C34" s="16"/>
      <c r="D34" s="17" t="s">
        <v>27</v>
      </c>
    </row>
    <row r="35" spans="1:4" ht="15.6" x14ac:dyDescent="0.3">
      <c r="A35" s="18" t="s">
        <v>46</v>
      </c>
      <c r="B35" s="45">
        <v>10.14</v>
      </c>
      <c r="C35" s="16"/>
      <c r="D35" s="17" t="s">
        <v>29</v>
      </c>
    </row>
    <row r="36" spans="1:4" ht="15.6" x14ac:dyDescent="0.3">
      <c r="A36" s="23" t="s">
        <v>47</v>
      </c>
      <c r="B36" s="45">
        <v>156.59</v>
      </c>
      <c r="C36" s="24"/>
      <c r="D36" s="17" t="s">
        <v>103</v>
      </c>
    </row>
    <row r="37" spans="1:4" ht="15.6" x14ac:dyDescent="0.3">
      <c r="A37" s="31" t="s">
        <v>48</v>
      </c>
      <c r="B37" s="28">
        <v>600.59</v>
      </c>
      <c r="C37" s="28">
        <v>0</v>
      </c>
      <c r="D37" s="30"/>
    </row>
    <row r="38" spans="1:4" ht="15.6" x14ac:dyDescent="0.3">
      <c r="A38" s="10"/>
      <c r="B38" s="10"/>
      <c r="C38" s="10"/>
      <c r="D38" s="10"/>
    </row>
    <row r="39" spans="1:4" ht="30.6" x14ac:dyDescent="0.3">
      <c r="A39" s="32" t="s">
        <v>49</v>
      </c>
      <c r="B39" s="10">
        <v>3843.68</v>
      </c>
      <c r="C39" s="10"/>
      <c r="D39" s="10"/>
    </row>
    <row r="40" spans="1:4" ht="30.6" x14ac:dyDescent="0.3">
      <c r="A40" s="32" t="s">
        <v>50</v>
      </c>
      <c r="B40" s="10">
        <v>0.66</v>
      </c>
      <c r="C40" s="10"/>
      <c r="D40" s="10"/>
    </row>
    <row r="41" spans="1:4" ht="15.6" x14ac:dyDescent="0.3">
      <c r="A41" s="32"/>
      <c r="B41" s="10"/>
      <c r="C41" s="10"/>
      <c r="D41" s="10"/>
    </row>
    <row r="42" spans="1:4" ht="15.6" x14ac:dyDescent="0.3">
      <c r="A42" s="30" t="s">
        <v>51</v>
      </c>
      <c r="B42" s="30"/>
      <c r="C42" s="30"/>
      <c r="D42" s="10"/>
    </row>
    <row r="43" spans="1:4" ht="15.6" x14ac:dyDescent="0.3">
      <c r="A43" s="30" t="s">
        <v>105</v>
      </c>
      <c r="B43" s="30"/>
      <c r="C43" s="30"/>
      <c r="D43" s="10"/>
    </row>
    <row r="44" spans="1:4" ht="15.6" x14ac:dyDescent="0.3">
      <c r="A44" s="30" t="s">
        <v>106</v>
      </c>
      <c r="B44" s="30"/>
      <c r="C44" s="30"/>
      <c r="D44" s="10"/>
    </row>
    <row r="45" spans="1:4" ht="15.6" x14ac:dyDescent="0.3">
      <c r="A45" s="30"/>
      <c r="B45" s="30"/>
      <c r="C45" s="30"/>
      <c r="D45" s="10"/>
    </row>
    <row r="46" spans="1:4" ht="15.6" x14ac:dyDescent="0.3">
      <c r="A46" s="10"/>
      <c r="B46" s="16" t="s">
        <v>9</v>
      </c>
      <c r="C46" s="10"/>
      <c r="D46" s="10"/>
    </row>
    <row r="47" spans="1:4" ht="27" x14ac:dyDescent="0.3">
      <c r="A47" s="33" t="s">
        <v>74</v>
      </c>
      <c r="B47" s="21">
        <v>1.07</v>
      </c>
      <c r="C47" s="14"/>
      <c r="D47" s="13" t="s">
        <v>107</v>
      </c>
    </row>
    <row r="48" spans="1:4" ht="27" x14ac:dyDescent="0.3">
      <c r="A48" s="33" t="s">
        <v>76</v>
      </c>
      <c r="B48" s="21">
        <v>1.42</v>
      </c>
      <c r="C48" s="14"/>
      <c r="D48" s="13" t="s">
        <v>108</v>
      </c>
    </row>
    <row r="49" spans="1:4" ht="27" x14ac:dyDescent="0.3">
      <c r="A49" s="33" t="s">
        <v>78</v>
      </c>
      <c r="B49" s="21">
        <v>1.41</v>
      </c>
      <c r="C49" s="14"/>
      <c r="D49" s="13" t="s">
        <v>109</v>
      </c>
    </row>
    <row r="50" spans="1:4" ht="27" x14ac:dyDescent="0.3">
      <c r="A50" s="33" t="s">
        <v>82</v>
      </c>
      <c r="B50" s="21">
        <v>1.42</v>
      </c>
      <c r="C50" s="14"/>
      <c r="D50" s="13" t="s">
        <v>110</v>
      </c>
    </row>
    <row r="51" spans="1:4" ht="27" x14ac:dyDescent="0.3">
      <c r="A51" s="33" t="s">
        <v>111</v>
      </c>
      <c r="B51" s="21">
        <v>1.42</v>
      </c>
      <c r="C51" s="14"/>
      <c r="D51" s="13" t="s">
        <v>110</v>
      </c>
    </row>
    <row r="52" spans="1:4" ht="15.6" x14ac:dyDescent="0.3">
      <c r="A52" s="34"/>
      <c r="B52" s="15"/>
      <c r="C52" s="10"/>
      <c r="D52" s="30"/>
    </row>
    <row r="53" spans="1:4" ht="15.6" x14ac:dyDescent="0.3">
      <c r="A53" s="14" t="s">
        <v>60</v>
      </c>
      <c r="B53" s="10"/>
      <c r="C53" s="10"/>
      <c r="D53" s="10"/>
    </row>
    <row r="54" spans="1:4" x14ac:dyDescent="0.3">
      <c r="A54" s="35">
        <v>63459143</v>
      </c>
      <c r="B54" s="14"/>
      <c r="C54" s="14"/>
      <c r="D54" s="14"/>
    </row>
    <row r="55" spans="1:4" x14ac:dyDescent="0.3">
      <c r="A55" s="36" t="s">
        <v>61</v>
      </c>
      <c r="B55" s="14"/>
      <c r="C55" s="14"/>
      <c r="D55" s="14"/>
    </row>
    <row r="56" spans="1:4" x14ac:dyDescent="0.3">
      <c r="A56" s="14"/>
      <c r="B56" s="14"/>
      <c r="C56" s="14"/>
      <c r="D56" s="14"/>
    </row>
  </sheetData>
  <hyperlinks>
    <hyperlink ref="A55" r:id="rId1" xr:uid="{00000000-0004-0000-0300-000000000000}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workbookViewId="0">
      <selection activeCell="I43" sqref="I43"/>
    </sheetView>
  </sheetViews>
  <sheetFormatPr defaultRowHeight="14.4" x14ac:dyDescent="0.3"/>
  <cols>
    <col min="1" max="1" width="46.109375" customWidth="1"/>
    <col min="2" max="2" width="9.5546875" bestFit="1" customWidth="1"/>
    <col min="4" max="4" width="49.109375" customWidth="1"/>
  </cols>
  <sheetData>
    <row r="1" spans="1:4" ht="15.6" x14ac:dyDescent="0.3">
      <c r="A1" s="10"/>
      <c r="B1" s="10"/>
      <c r="C1" s="10"/>
      <c r="D1" s="11" t="s">
        <v>133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113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114</v>
      </c>
      <c r="B7" s="10"/>
      <c r="C7" s="10"/>
      <c r="D7" s="10"/>
    </row>
    <row r="8" spans="1:4" ht="15.6" x14ac:dyDescent="0.3">
      <c r="A8" s="14"/>
      <c r="B8" s="10"/>
      <c r="C8" s="10"/>
      <c r="D8" s="10"/>
    </row>
    <row r="9" spans="1:4" ht="15.6" x14ac:dyDescent="0.3">
      <c r="A9" s="15" t="s">
        <v>8</v>
      </c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54">
        <v>333.74</v>
      </c>
      <c r="C11" s="19"/>
      <c r="D11" s="17" t="s">
        <v>115</v>
      </c>
    </row>
    <row r="12" spans="1:4" x14ac:dyDescent="0.3">
      <c r="A12" s="18" t="s">
        <v>15</v>
      </c>
      <c r="B12" s="47">
        <v>349.32</v>
      </c>
      <c r="C12" s="19"/>
      <c r="D12" s="17" t="s">
        <v>116</v>
      </c>
    </row>
    <row r="13" spans="1:4" x14ac:dyDescent="0.3">
      <c r="A13" s="18" t="s">
        <v>17</v>
      </c>
      <c r="B13" s="47">
        <v>57.4</v>
      </c>
      <c r="C13" s="19"/>
      <c r="D13" s="17" t="s">
        <v>117</v>
      </c>
    </row>
    <row r="14" spans="1:4" ht="28.8" x14ac:dyDescent="0.3">
      <c r="A14" s="53" t="s">
        <v>118</v>
      </c>
      <c r="B14" s="47">
        <v>129.9</v>
      </c>
      <c r="C14" s="19"/>
      <c r="D14" s="17" t="s">
        <v>119</v>
      </c>
    </row>
    <row r="15" spans="1:4" x14ac:dyDescent="0.3">
      <c r="A15" s="18" t="s">
        <v>21</v>
      </c>
      <c r="B15" s="47"/>
      <c r="C15" s="47">
        <v>147.6</v>
      </c>
      <c r="D15" s="17" t="s">
        <v>120</v>
      </c>
    </row>
    <row r="16" spans="1:4" x14ac:dyDescent="0.3">
      <c r="A16" s="20" t="s">
        <v>23</v>
      </c>
      <c r="B16" s="41">
        <v>870.36</v>
      </c>
      <c r="C16" s="41">
        <v>147.6</v>
      </c>
      <c r="D16" s="13"/>
    </row>
    <row r="17" spans="1:4" x14ac:dyDescent="0.3">
      <c r="A17" s="20"/>
      <c r="B17" s="20"/>
      <c r="C17" s="20"/>
      <c r="D17" s="13"/>
    </row>
    <row r="18" spans="1:4" ht="15.6" x14ac:dyDescent="0.3">
      <c r="A18" s="18" t="s">
        <v>24</v>
      </c>
      <c r="B18" s="45">
        <v>1180</v>
      </c>
      <c r="C18" s="16"/>
      <c r="D18" s="22" t="s">
        <v>121</v>
      </c>
    </row>
    <row r="19" spans="1:4" ht="15.6" x14ac:dyDescent="0.3">
      <c r="A19" s="18" t="s">
        <v>26</v>
      </c>
      <c r="B19" s="45">
        <v>278.36</v>
      </c>
      <c r="C19" s="16"/>
      <c r="D19" s="17" t="s">
        <v>27</v>
      </c>
    </row>
    <row r="20" spans="1:4" ht="15.6" x14ac:dyDescent="0.3">
      <c r="A20" s="18" t="s">
        <v>28</v>
      </c>
      <c r="B20" s="45">
        <v>115.97</v>
      </c>
      <c r="C20" s="16"/>
      <c r="D20" s="17" t="s">
        <v>29</v>
      </c>
    </row>
    <row r="21" spans="1:4" ht="15.6" x14ac:dyDescent="0.3">
      <c r="A21" s="23" t="s">
        <v>30</v>
      </c>
      <c r="B21" s="45">
        <v>40.15</v>
      </c>
      <c r="C21" s="24"/>
      <c r="D21" s="25" t="s">
        <v>122</v>
      </c>
    </row>
    <row r="22" spans="1:4" ht="15.6" x14ac:dyDescent="0.3">
      <c r="A22" s="18" t="s">
        <v>32</v>
      </c>
      <c r="B22" s="45">
        <v>25</v>
      </c>
      <c r="C22" s="16"/>
      <c r="D22" s="17" t="s">
        <v>33</v>
      </c>
    </row>
    <row r="23" spans="1:4" ht="15.6" x14ac:dyDescent="0.3">
      <c r="A23" s="26" t="s">
        <v>34</v>
      </c>
      <c r="B23" s="51">
        <v>0</v>
      </c>
      <c r="C23" s="16"/>
      <c r="D23" s="17" t="s">
        <v>123</v>
      </c>
    </row>
    <row r="24" spans="1:4" ht="15.6" x14ac:dyDescent="0.3">
      <c r="A24" s="26" t="s">
        <v>36</v>
      </c>
      <c r="B24" s="51">
        <v>3.3</v>
      </c>
      <c r="C24" s="16"/>
      <c r="D24" s="17" t="s">
        <v>124</v>
      </c>
    </row>
    <row r="25" spans="1:4" ht="15.6" x14ac:dyDescent="0.3">
      <c r="A25" s="28" t="s">
        <v>23</v>
      </c>
      <c r="B25" s="52">
        <v>1642.78</v>
      </c>
      <c r="C25" s="28">
        <v>0</v>
      </c>
      <c r="D25" s="13"/>
    </row>
    <row r="26" spans="1:4" ht="15.6" x14ac:dyDescent="0.3">
      <c r="A26" s="29"/>
      <c r="B26" s="29"/>
      <c r="C26" s="29"/>
      <c r="D26" s="30"/>
    </row>
    <row r="27" spans="1:4" ht="15.6" x14ac:dyDescent="0.3">
      <c r="A27" s="15" t="s">
        <v>38</v>
      </c>
      <c r="B27" s="16" t="s">
        <v>9</v>
      </c>
      <c r="C27" s="16"/>
      <c r="D27" s="17" t="s">
        <v>10</v>
      </c>
    </row>
    <row r="28" spans="1:4" ht="15.6" x14ac:dyDescent="0.3">
      <c r="A28" s="18" t="s">
        <v>39</v>
      </c>
      <c r="B28" s="45">
        <v>64.760000000000005</v>
      </c>
      <c r="C28" s="16"/>
      <c r="D28" s="17" t="s">
        <v>123</v>
      </c>
    </row>
    <row r="29" spans="1:4" ht="15.6" x14ac:dyDescent="0.3">
      <c r="A29" s="18" t="s">
        <v>40</v>
      </c>
      <c r="B29" s="45">
        <v>15.86</v>
      </c>
      <c r="C29" s="16"/>
      <c r="D29" s="17" t="s">
        <v>123</v>
      </c>
    </row>
    <row r="30" spans="1:4" ht="15.6" x14ac:dyDescent="0.3">
      <c r="A30" s="18" t="s">
        <v>41</v>
      </c>
      <c r="B30" s="45">
        <v>118.95</v>
      </c>
      <c r="C30" s="16"/>
      <c r="D30" s="17" t="s">
        <v>123</v>
      </c>
    </row>
    <row r="31" spans="1:4" ht="15.6" x14ac:dyDescent="0.3">
      <c r="A31" s="18" t="s">
        <v>42</v>
      </c>
      <c r="B31" s="45">
        <v>30.4</v>
      </c>
      <c r="C31" s="16"/>
      <c r="D31" s="17" t="s">
        <v>123</v>
      </c>
    </row>
    <row r="32" spans="1:4" ht="15.6" x14ac:dyDescent="0.3">
      <c r="A32" s="18" t="s">
        <v>43</v>
      </c>
      <c r="B32" s="45">
        <v>9.52</v>
      </c>
      <c r="C32" s="16"/>
      <c r="D32" s="17" t="s">
        <v>123</v>
      </c>
    </row>
    <row r="33" spans="1:4" ht="15.6" x14ac:dyDescent="0.3">
      <c r="A33" s="18" t="s">
        <v>44</v>
      </c>
      <c r="B33" s="45">
        <v>30</v>
      </c>
      <c r="C33" s="16"/>
      <c r="D33" s="17" t="s">
        <v>125</v>
      </c>
    </row>
    <row r="34" spans="1:4" ht="15.6" x14ac:dyDescent="0.3">
      <c r="A34" s="18" t="s">
        <v>26</v>
      </c>
      <c r="B34" s="45">
        <v>7.08</v>
      </c>
      <c r="C34" s="16"/>
      <c r="D34" s="17" t="s">
        <v>27</v>
      </c>
    </row>
    <row r="35" spans="1:4" ht="15.6" x14ac:dyDescent="0.3">
      <c r="A35" s="18" t="s">
        <v>46</v>
      </c>
      <c r="B35" s="45">
        <v>2.95</v>
      </c>
      <c r="C35" s="16"/>
      <c r="D35" s="17" t="s">
        <v>29</v>
      </c>
    </row>
    <row r="36" spans="1:4" ht="15.6" x14ac:dyDescent="0.3">
      <c r="A36" s="23" t="s">
        <v>47</v>
      </c>
      <c r="B36" s="45">
        <v>54.94</v>
      </c>
      <c r="C36" s="24"/>
      <c r="D36" s="17" t="s">
        <v>123</v>
      </c>
    </row>
    <row r="37" spans="1:4" ht="15.6" x14ac:dyDescent="0.3">
      <c r="A37" s="31" t="s">
        <v>48</v>
      </c>
      <c r="B37" s="52">
        <v>334.46</v>
      </c>
      <c r="C37" s="28">
        <v>0</v>
      </c>
      <c r="D37" s="30"/>
    </row>
    <row r="38" spans="1:4" ht="15.6" x14ac:dyDescent="0.3">
      <c r="A38" s="10"/>
      <c r="B38" s="10"/>
      <c r="C38" s="10"/>
      <c r="D38" s="10"/>
    </row>
    <row r="39" spans="1:4" ht="30.6" x14ac:dyDescent="0.3">
      <c r="A39" s="32" t="s">
        <v>49</v>
      </c>
      <c r="B39" s="10">
        <v>1977.24</v>
      </c>
      <c r="C39" s="10"/>
      <c r="D39" s="10"/>
    </row>
    <row r="40" spans="1:4" ht="30.6" x14ac:dyDescent="0.3">
      <c r="A40" s="32" t="s">
        <v>50</v>
      </c>
      <c r="B40" s="44">
        <v>1.3</v>
      </c>
      <c r="C40" s="10"/>
      <c r="D40" s="10"/>
    </row>
    <row r="41" spans="1:4" ht="15.6" x14ac:dyDescent="0.3">
      <c r="A41" s="32"/>
      <c r="B41" s="10"/>
      <c r="C41" s="10"/>
      <c r="D41" s="10"/>
    </row>
    <row r="42" spans="1:4" ht="15.6" x14ac:dyDescent="0.3">
      <c r="A42" s="30" t="s">
        <v>51</v>
      </c>
      <c r="B42" s="30"/>
      <c r="C42" s="30"/>
      <c r="D42" s="10"/>
    </row>
    <row r="43" spans="1:4" ht="15.6" x14ac:dyDescent="0.3">
      <c r="A43" s="30" t="s">
        <v>126</v>
      </c>
      <c r="B43" s="30"/>
      <c r="C43" s="30"/>
      <c r="D43" s="10"/>
    </row>
    <row r="44" spans="1:4" ht="15.6" x14ac:dyDescent="0.3">
      <c r="A44" s="30" t="s">
        <v>127</v>
      </c>
      <c r="B44" s="30"/>
      <c r="C44" s="30"/>
      <c r="D44" s="10"/>
    </row>
    <row r="45" spans="1:4" ht="15.6" x14ac:dyDescent="0.3">
      <c r="A45" s="10"/>
      <c r="B45" s="16" t="s">
        <v>9</v>
      </c>
      <c r="C45" s="10"/>
      <c r="D45" s="10"/>
    </row>
    <row r="46" spans="1:4" x14ac:dyDescent="0.3">
      <c r="A46" s="33" t="s">
        <v>128</v>
      </c>
      <c r="B46" s="41">
        <v>1.6</v>
      </c>
      <c r="C46" s="14"/>
      <c r="D46" s="13" t="s">
        <v>75</v>
      </c>
    </row>
    <row r="47" spans="1:4" ht="27" x14ac:dyDescent="0.3">
      <c r="A47" s="33" t="s">
        <v>132</v>
      </c>
      <c r="B47" s="21">
        <v>2.12</v>
      </c>
      <c r="C47" s="14"/>
      <c r="D47" s="13" t="s">
        <v>130</v>
      </c>
    </row>
    <row r="48" spans="1:4" ht="27" x14ac:dyDescent="0.3">
      <c r="A48" s="33" t="s">
        <v>129</v>
      </c>
      <c r="B48" s="21">
        <v>2.12</v>
      </c>
      <c r="C48" s="14"/>
      <c r="D48" s="13" t="s">
        <v>130</v>
      </c>
    </row>
    <row r="49" spans="1:4" ht="27" x14ac:dyDescent="0.3">
      <c r="A49" s="33" t="s">
        <v>131</v>
      </c>
      <c r="B49" s="21">
        <v>2.12</v>
      </c>
      <c r="C49" s="14"/>
      <c r="D49" s="13" t="s">
        <v>130</v>
      </c>
    </row>
    <row r="50" spans="1:4" x14ac:dyDescent="0.3">
      <c r="A50" s="33"/>
      <c r="B50" s="55"/>
      <c r="C50" s="14"/>
      <c r="D50" s="13"/>
    </row>
    <row r="51" spans="1:4" ht="15.6" x14ac:dyDescent="0.3">
      <c r="A51" s="34"/>
      <c r="B51" s="15"/>
      <c r="C51" s="10"/>
      <c r="D51" s="30"/>
    </row>
    <row r="52" spans="1:4" ht="15.6" x14ac:dyDescent="0.3">
      <c r="A52" s="14" t="s">
        <v>60</v>
      </c>
      <c r="B52" s="10"/>
      <c r="C52" s="10"/>
      <c r="D52" s="10"/>
    </row>
    <row r="53" spans="1:4" x14ac:dyDescent="0.3">
      <c r="A53" s="35">
        <v>63459143</v>
      </c>
      <c r="B53" s="14"/>
      <c r="C53" s="14"/>
      <c r="D53" s="14"/>
    </row>
    <row r="54" spans="1:4" x14ac:dyDescent="0.3">
      <c r="A54" s="36" t="s">
        <v>61</v>
      </c>
      <c r="B54" s="14"/>
      <c r="C54" s="14"/>
      <c r="D54" s="14"/>
    </row>
    <row r="55" spans="1:4" x14ac:dyDescent="0.3">
      <c r="A55" s="14"/>
      <c r="B55" s="14"/>
      <c r="C55" s="14"/>
      <c r="D55" s="14"/>
    </row>
  </sheetData>
  <hyperlinks>
    <hyperlink ref="A54" r:id="rId1" xr:uid="{00000000-0004-0000-0400-000000000000}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5"/>
  <sheetViews>
    <sheetView workbookViewId="0">
      <selection activeCell="A51" sqref="A51:XFD51"/>
    </sheetView>
  </sheetViews>
  <sheetFormatPr defaultRowHeight="14.4" x14ac:dyDescent="0.3"/>
  <cols>
    <col min="1" max="1" width="47.6640625" style="14" customWidth="1"/>
    <col min="2" max="2" width="11.44140625" style="14" customWidth="1"/>
    <col min="3" max="3" width="9.109375" style="14" customWidth="1"/>
    <col min="4" max="4" width="49.109375" style="14" customWidth="1"/>
  </cols>
  <sheetData>
    <row r="1" spans="1:4" ht="15.6" x14ac:dyDescent="0.3">
      <c r="A1" s="10"/>
      <c r="B1" s="10"/>
      <c r="C1" s="10"/>
      <c r="D1" s="11" t="s">
        <v>169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134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135</v>
      </c>
      <c r="B7" s="10"/>
      <c r="C7" s="10"/>
      <c r="D7" s="10"/>
    </row>
    <row r="8" spans="1:4" ht="15.6" x14ac:dyDescent="0.3">
      <c r="B8" s="10"/>
      <c r="C8" s="10"/>
      <c r="D8" s="10"/>
    </row>
    <row r="9" spans="1:4" ht="15.6" x14ac:dyDescent="0.3">
      <c r="A9" s="15" t="s">
        <v>8</v>
      </c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14">
        <f>0.61*701</f>
        <v>427.61</v>
      </c>
      <c r="C11" s="19"/>
      <c r="D11" s="17" t="s">
        <v>136</v>
      </c>
    </row>
    <row r="12" spans="1:4" x14ac:dyDescent="0.3">
      <c r="A12" s="18" t="s">
        <v>15</v>
      </c>
      <c r="B12" s="47">
        <f>0.61*809</f>
        <v>493.49</v>
      </c>
      <c r="C12" s="19"/>
      <c r="D12" s="17" t="s">
        <v>137</v>
      </c>
    </row>
    <row r="13" spans="1:4" x14ac:dyDescent="0.3">
      <c r="A13" s="18" t="s">
        <v>17</v>
      </c>
      <c r="B13" s="47">
        <f>0.61*200</f>
        <v>122</v>
      </c>
      <c r="C13" s="19"/>
      <c r="D13" s="17" t="s">
        <v>138</v>
      </c>
    </row>
    <row r="14" spans="1:4" x14ac:dyDescent="0.3">
      <c r="A14" s="18" t="s">
        <v>19</v>
      </c>
      <c r="B14" s="47"/>
      <c r="C14" s="19">
        <f>0.33*541</f>
        <v>178.53</v>
      </c>
      <c r="D14" s="17" t="s">
        <v>139</v>
      </c>
    </row>
    <row r="15" spans="1:4" x14ac:dyDescent="0.3">
      <c r="A15" s="18" t="s">
        <v>21</v>
      </c>
      <c r="B15" s="47"/>
      <c r="C15" s="19">
        <f>0.61*603</f>
        <v>367.83</v>
      </c>
      <c r="D15" s="17" t="s">
        <v>140</v>
      </c>
    </row>
    <row r="16" spans="1:4" x14ac:dyDescent="0.3">
      <c r="A16" s="18" t="s">
        <v>66</v>
      </c>
      <c r="B16" s="47"/>
      <c r="C16" s="19">
        <f>0.44*514</f>
        <v>226.16</v>
      </c>
      <c r="D16" s="17" t="s">
        <v>141</v>
      </c>
    </row>
    <row r="17" spans="1:4" x14ac:dyDescent="0.3">
      <c r="A17" s="55" t="s">
        <v>23</v>
      </c>
      <c r="B17" s="41">
        <f>SUM(B12:B16:B11)</f>
        <v>1043.0999999999999</v>
      </c>
      <c r="C17" s="21">
        <f>SUM(C15:C16)</f>
        <v>593.99</v>
      </c>
      <c r="D17" s="56"/>
    </row>
    <row r="18" spans="1:4" x14ac:dyDescent="0.3">
      <c r="A18" s="55"/>
      <c r="B18" s="55"/>
      <c r="C18" s="55"/>
      <c r="D18" s="56"/>
    </row>
    <row r="19" spans="1:4" ht="15.6" x14ac:dyDescent="0.3">
      <c r="A19" s="18" t="s">
        <v>24</v>
      </c>
      <c r="B19" s="45">
        <v>1140</v>
      </c>
      <c r="C19" s="16"/>
      <c r="D19" s="22" t="s">
        <v>121</v>
      </c>
    </row>
    <row r="20" spans="1:4" ht="15.6" x14ac:dyDescent="0.3">
      <c r="A20" s="18" t="s">
        <v>26</v>
      </c>
      <c r="B20" s="37">
        <f>ROUND(B19*0.2359,2)</f>
        <v>268.93</v>
      </c>
      <c r="C20" s="16"/>
      <c r="D20" s="17" t="s">
        <v>27</v>
      </c>
    </row>
    <row r="21" spans="1:4" ht="15.6" x14ac:dyDescent="0.3">
      <c r="A21" s="18" t="s">
        <v>28</v>
      </c>
      <c r="B21" s="37">
        <f>ROUND((B19+B20)/21*1.67,2)</f>
        <v>112.04</v>
      </c>
      <c r="C21" s="16"/>
      <c r="D21" s="17" t="s">
        <v>29</v>
      </c>
    </row>
    <row r="22" spans="1:4" ht="15.6" x14ac:dyDescent="0.3">
      <c r="A22" s="57" t="s">
        <v>30</v>
      </c>
      <c r="B22" s="45">
        <v>11.3</v>
      </c>
      <c r="C22" s="37"/>
      <c r="D22" s="46" t="s">
        <v>142</v>
      </c>
    </row>
    <row r="23" spans="1:4" ht="15.6" x14ac:dyDescent="0.3">
      <c r="A23" s="18" t="s">
        <v>32</v>
      </c>
      <c r="B23" s="45">
        <f>300/12</f>
        <v>25</v>
      </c>
      <c r="C23" s="16"/>
      <c r="D23" s="17" t="s">
        <v>33</v>
      </c>
    </row>
    <row r="24" spans="1:4" ht="15.6" x14ac:dyDescent="0.3">
      <c r="A24" s="26" t="s">
        <v>36</v>
      </c>
      <c r="B24" s="51">
        <f>200*8.17%/12</f>
        <v>1.3616666666666666</v>
      </c>
      <c r="C24" s="16"/>
      <c r="D24" s="17" t="s">
        <v>143</v>
      </c>
    </row>
    <row r="25" spans="1:4" ht="15.6" x14ac:dyDescent="0.3">
      <c r="A25" s="58" t="s">
        <v>23</v>
      </c>
      <c r="B25" s="40">
        <f>SUM(B19:B24)</f>
        <v>1558.6316666666667</v>
      </c>
      <c r="C25" s="28">
        <f>SUM(C19:C24)</f>
        <v>0</v>
      </c>
      <c r="D25" s="13"/>
    </row>
    <row r="26" spans="1:4" ht="15.6" x14ac:dyDescent="0.3">
      <c r="A26" s="59"/>
      <c r="B26" s="60"/>
      <c r="C26" s="60"/>
      <c r="D26" s="30"/>
    </row>
    <row r="27" spans="1:4" ht="15.6" x14ac:dyDescent="0.3">
      <c r="A27" s="61" t="s">
        <v>38</v>
      </c>
      <c r="B27" s="16" t="s">
        <v>9</v>
      </c>
      <c r="C27" s="16"/>
      <c r="D27" s="17" t="s">
        <v>10</v>
      </c>
    </row>
    <row r="28" spans="1:4" ht="15.6" x14ac:dyDescent="0.3">
      <c r="A28" s="18" t="s">
        <v>39</v>
      </c>
      <c r="B28" s="45">
        <f>14000*8.17%/12</f>
        <v>95.316666666666663</v>
      </c>
      <c r="C28" s="16"/>
      <c r="D28" s="17" t="s">
        <v>144</v>
      </c>
    </row>
    <row r="29" spans="1:4" ht="15.6" x14ac:dyDescent="0.3">
      <c r="A29" s="18" t="s">
        <v>40</v>
      </c>
      <c r="B29" s="45">
        <f>3050*8.17%/12</f>
        <v>20.765416666666663</v>
      </c>
      <c r="C29" s="16"/>
      <c r="D29" s="17" t="s">
        <v>144</v>
      </c>
    </row>
    <row r="30" spans="1:4" ht="15.6" x14ac:dyDescent="0.3">
      <c r="A30" s="18" t="s">
        <v>41</v>
      </c>
      <c r="B30" s="45">
        <f>12000*8.17%/12</f>
        <v>81.7</v>
      </c>
      <c r="C30" s="16"/>
      <c r="D30" s="17" t="s">
        <v>144</v>
      </c>
    </row>
    <row r="31" spans="1:4" ht="15.6" x14ac:dyDescent="0.3">
      <c r="A31" s="18" t="s">
        <v>42</v>
      </c>
      <c r="B31" s="45">
        <f>3000*8.17%/12</f>
        <v>20.425000000000001</v>
      </c>
      <c r="C31" s="16"/>
      <c r="D31" s="17" t="s">
        <v>144</v>
      </c>
    </row>
    <row r="32" spans="1:4" ht="15.6" x14ac:dyDescent="0.3">
      <c r="A32" s="18" t="s">
        <v>43</v>
      </c>
      <c r="B32" s="45">
        <f>600*8.17%/12</f>
        <v>4.085</v>
      </c>
      <c r="C32" s="16"/>
      <c r="D32" s="17" t="s">
        <v>144</v>
      </c>
    </row>
    <row r="33" spans="1:4" ht="15.6" x14ac:dyDescent="0.3">
      <c r="A33" s="18" t="s">
        <v>44</v>
      </c>
      <c r="B33" s="45">
        <f>630*10%</f>
        <v>63</v>
      </c>
      <c r="C33" s="16"/>
      <c r="D33" s="17" t="s">
        <v>145</v>
      </c>
    </row>
    <row r="34" spans="1:4" ht="15.6" x14ac:dyDescent="0.3">
      <c r="A34" s="18" t="s">
        <v>26</v>
      </c>
      <c r="B34" s="37">
        <f>ROUND(B33*0.2359,2)</f>
        <v>14.86</v>
      </c>
      <c r="C34" s="16"/>
      <c r="D34" s="17" t="s">
        <v>27</v>
      </c>
    </row>
    <row r="35" spans="1:4" ht="15.6" x14ac:dyDescent="0.3">
      <c r="A35" s="18" t="s">
        <v>46</v>
      </c>
      <c r="B35" s="37">
        <f>ROUND((B33+B34)/21*1.67,2)</f>
        <v>6.19</v>
      </c>
      <c r="C35" s="16"/>
      <c r="D35" s="17" t="s">
        <v>29</v>
      </c>
    </row>
    <row r="36" spans="1:4" ht="15.6" x14ac:dyDescent="0.3">
      <c r="A36" s="57" t="s">
        <v>47</v>
      </c>
      <c r="B36" s="45">
        <f>660.48*8.17%</f>
        <v>53.961216</v>
      </c>
      <c r="C36" s="37"/>
      <c r="D36" s="17" t="s">
        <v>144</v>
      </c>
    </row>
    <row r="37" spans="1:4" ht="15.6" x14ac:dyDescent="0.3">
      <c r="A37" s="62" t="s">
        <v>48</v>
      </c>
      <c r="B37" s="40">
        <f>SUM(B28:B36)</f>
        <v>360.30329933333337</v>
      </c>
      <c r="C37" s="28">
        <v>0</v>
      </c>
      <c r="D37" s="30"/>
    </row>
    <row r="38" spans="1:4" ht="15.6" x14ac:dyDescent="0.3">
      <c r="A38" s="10"/>
      <c r="B38" s="10"/>
      <c r="C38" s="10"/>
      <c r="D38" s="10"/>
    </row>
    <row r="39" spans="1:4" ht="30.6" x14ac:dyDescent="0.3">
      <c r="A39" s="32" t="s">
        <v>49</v>
      </c>
      <c r="B39" s="44">
        <f>B25+B37</f>
        <v>1918.934966</v>
      </c>
      <c r="C39" s="10"/>
      <c r="D39" s="10"/>
    </row>
    <row r="40" spans="1:4" ht="30.6" x14ac:dyDescent="0.3">
      <c r="A40" s="32" t="s">
        <v>50</v>
      </c>
      <c r="B40" s="44">
        <f>ROUND(B39/3368,2)</f>
        <v>0.56999999999999995</v>
      </c>
      <c r="C40" s="10"/>
      <c r="D40" s="10"/>
    </row>
    <row r="41" spans="1:4" ht="15.6" x14ac:dyDescent="0.3">
      <c r="A41" s="32"/>
      <c r="B41" s="44"/>
      <c r="C41" s="10"/>
      <c r="D41" s="10"/>
    </row>
    <row r="42" spans="1:4" ht="15.6" x14ac:dyDescent="0.3">
      <c r="A42" s="30" t="s">
        <v>51</v>
      </c>
      <c r="B42" s="30"/>
      <c r="C42" s="30"/>
      <c r="D42" s="10"/>
    </row>
    <row r="43" spans="1:4" ht="15.6" x14ac:dyDescent="0.3">
      <c r="A43" s="30" t="s">
        <v>146</v>
      </c>
      <c r="B43" s="30"/>
      <c r="C43" s="30"/>
      <c r="D43" s="10"/>
    </row>
    <row r="44" spans="1:4" ht="15.6" x14ac:dyDescent="0.3">
      <c r="A44" s="30" t="s">
        <v>147</v>
      </c>
      <c r="B44" s="30"/>
      <c r="C44" s="30"/>
      <c r="D44" s="10"/>
    </row>
    <row r="45" spans="1:4" ht="15.6" x14ac:dyDescent="0.3">
      <c r="A45" s="10"/>
      <c r="B45" s="16" t="s">
        <v>9</v>
      </c>
      <c r="C45" s="10"/>
      <c r="D45" s="10"/>
    </row>
    <row r="46" spans="1:4" ht="27" x14ac:dyDescent="0.3">
      <c r="A46" s="33" t="s">
        <v>74</v>
      </c>
      <c r="B46" s="41">
        <f>B40+0.33</f>
        <v>0.89999999999999991</v>
      </c>
      <c r="D46" s="13" t="s">
        <v>148</v>
      </c>
    </row>
    <row r="47" spans="1:4" ht="27" x14ac:dyDescent="0.3">
      <c r="A47" s="33" t="s">
        <v>76</v>
      </c>
      <c r="B47" s="41">
        <f>B40+0.61</f>
        <v>1.18</v>
      </c>
      <c r="D47" s="13" t="s">
        <v>149</v>
      </c>
    </row>
    <row r="48" spans="1:4" ht="27" x14ac:dyDescent="0.3">
      <c r="A48" s="33" t="s">
        <v>78</v>
      </c>
      <c r="B48" s="41">
        <f>B40+0.44</f>
        <v>1.01</v>
      </c>
      <c r="D48" s="13" t="s">
        <v>150</v>
      </c>
    </row>
    <row r="49" spans="1:4" ht="27" x14ac:dyDescent="0.3">
      <c r="A49" s="33" t="s">
        <v>82</v>
      </c>
      <c r="B49" s="41">
        <f>B40+0.61</f>
        <v>1.18</v>
      </c>
      <c r="D49" s="13" t="s">
        <v>149</v>
      </c>
    </row>
    <row r="50" spans="1:4" ht="27" x14ac:dyDescent="0.3">
      <c r="A50" s="33" t="s">
        <v>131</v>
      </c>
      <c r="B50" s="41">
        <f>B40+0.61</f>
        <v>1.18</v>
      </c>
      <c r="D50" s="13" t="s">
        <v>149</v>
      </c>
    </row>
    <row r="51" spans="1:4" x14ac:dyDescent="0.3">
      <c r="A51" s="33"/>
      <c r="B51" s="68"/>
      <c r="D51" s="13"/>
    </row>
    <row r="52" spans="1:4" ht="15.6" x14ac:dyDescent="0.3">
      <c r="A52" s="34"/>
      <c r="B52" s="63"/>
      <c r="C52" s="10"/>
      <c r="D52" s="30"/>
    </row>
    <row r="53" spans="1:4" ht="15.6" x14ac:dyDescent="0.3">
      <c r="A53" s="14" t="s">
        <v>60</v>
      </c>
      <c r="B53" s="10"/>
      <c r="C53" s="10"/>
      <c r="D53" s="10"/>
    </row>
    <row r="54" spans="1:4" x14ac:dyDescent="0.3">
      <c r="A54" s="35">
        <v>63459143</v>
      </c>
    </row>
    <row r="55" spans="1:4" x14ac:dyDescent="0.3">
      <c r="A55" s="36" t="s">
        <v>61</v>
      </c>
    </row>
  </sheetData>
  <hyperlinks>
    <hyperlink ref="A55" r:id="rId1" xr:uid="{00000000-0004-0000-0500-000000000000}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topLeftCell="A43" workbookViewId="0">
      <selection activeCell="I50" sqref="I50"/>
    </sheetView>
  </sheetViews>
  <sheetFormatPr defaultRowHeight="14.4" x14ac:dyDescent="0.3"/>
  <cols>
    <col min="1" max="1" width="46.88671875" style="14" customWidth="1"/>
    <col min="2" max="2" width="11.44140625" style="14" customWidth="1"/>
    <col min="3" max="3" width="9.109375" style="14" customWidth="1"/>
    <col min="4" max="4" width="50.6640625" style="14" customWidth="1"/>
  </cols>
  <sheetData>
    <row r="1" spans="1:4" ht="15.6" x14ac:dyDescent="0.3">
      <c r="A1" s="10"/>
      <c r="B1" s="10"/>
      <c r="C1" s="10"/>
      <c r="D1" s="11" t="s">
        <v>170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151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152</v>
      </c>
      <c r="B7" s="10"/>
      <c r="C7" s="10"/>
      <c r="D7" s="10"/>
    </row>
    <row r="8" spans="1:4" ht="15.6" x14ac:dyDescent="0.3">
      <c r="B8" s="10"/>
      <c r="C8" s="10"/>
      <c r="D8" s="10"/>
    </row>
    <row r="9" spans="1:4" ht="15.6" x14ac:dyDescent="0.3">
      <c r="A9" s="15" t="s">
        <v>8</v>
      </c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14">
        <f>0.88*1078</f>
        <v>948.64</v>
      </c>
      <c r="C11" s="19"/>
      <c r="D11" s="17" t="s">
        <v>153</v>
      </c>
    </row>
    <row r="12" spans="1:4" x14ac:dyDescent="0.3">
      <c r="A12" s="18" t="s">
        <v>15</v>
      </c>
      <c r="B12" s="47">
        <f>0.88*1584</f>
        <v>1393.92</v>
      </c>
      <c r="C12" s="19"/>
      <c r="D12" s="17" t="s">
        <v>154</v>
      </c>
    </row>
    <row r="13" spans="1:4" x14ac:dyDescent="0.3">
      <c r="A13" s="18" t="s">
        <v>17</v>
      </c>
      <c r="B13" s="47">
        <f>0.88*80</f>
        <v>70.400000000000006</v>
      </c>
      <c r="C13" s="19"/>
      <c r="D13" s="17" t="s">
        <v>155</v>
      </c>
    </row>
    <row r="14" spans="1:4" x14ac:dyDescent="0.3">
      <c r="A14" s="18" t="s">
        <v>19</v>
      </c>
      <c r="B14" s="47"/>
      <c r="C14" s="19">
        <f>0.37*814</f>
        <v>301.18</v>
      </c>
      <c r="D14" s="17" t="s">
        <v>156</v>
      </c>
    </row>
    <row r="15" spans="1:4" x14ac:dyDescent="0.3">
      <c r="A15" s="18" t="s">
        <v>21</v>
      </c>
      <c r="B15" s="47"/>
      <c r="C15" s="19">
        <f>0.88*814</f>
        <v>716.32</v>
      </c>
      <c r="D15" s="17" t="s">
        <v>157</v>
      </c>
    </row>
    <row r="16" spans="1:4" x14ac:dyDescent="0.3">
      <c r="A16" s="18" t="s">
        <v>66</v>
      </c>
      <c r="B16" s="47"/>
      <c r="C16" s="19">
        <f>0.38*814</f>
        <v>309.32</v>
      </c>
      <c r="D16" s="17" t="s">
        <v>158</v>
      </c>
    </row>
    <row r="17" spans="1:4" ht="15.6" x14ac:dyDescent="0.3">
      <c r="A17" s="64"/>
      <c r="B17" s="47"/>
      <c r="C17" s="19"/>
      <c r="D17" s="65"/>
    </row>
    <row r="18" spans="1:4" x14ac:dyDescent="0.3">
      <c r="A18" s="55" t="s">
        <v>23</v>
      </c>
      <c r="B18" s="41">
        <f>SUM(B12:B17:B11)</f>
        <v>2412.96</v>
      </c>
      <c r="C18" s="21">
        <f>SUM(C14:C17)</f>
        <v>1326.82</v>
      </c>
      <c r="D18" s="56"/>
    </row>
    <row r="19" spans="1:4" x14ac:dyDescent="0.3">
      <c r="A19" s="55"/>
      <c r="B19" s="55"/>
      <c r="C19" s="55"/>
      <c r="D19" s="56"/>
    </row>
    <row r="20" spans="1:4" ht="15.6" x14ac:dyDescent="0.3">
      <c r="A20" s="18" t="s">
        <v>24</v>
      </c>
      <c r="B20" s="45">
        <v>1650</v>
      </c>
      <c r="C20" s="16"/>
      <c r="D20" s="22" t="s">
        <v>159</v>
      </c>
    </row>
    <row r="21" spans="1:4" ht="15.6" x14ac:dyDescent="0.3">
      <c r="A21" s="18" t="s">
        <v>26</v>
      </c>
      <c r="B21" s="37">
        <f>ROUND(B20*0.2359,2)</f>
        <v>389.24</v>
      </c>
      <c r="C21" s="16"/>
      <c r="D21" s="17" t="s">
        <v>27</v>
      </c>
    </row>
    <row r="22" spans="1:4" ht="15.6" x14ac:dyDescent="0.3">
      <c r="A22" s="18" t="s">
        <v>28</v>
      </c>
      <c r="B22" s="37">
        <f>ROUND((B20+B21)/21*1.67,2)</f>
        <v>162.16999999999999</v>
      </c>
      <c r="C22" s="16"/>
      <c r="D22" s="17" t="s">
        <v>29</v>
      </c>
    </row>
    <row r="23" spans="1:4" ht="15.6" x14ac:dyDescent="0.3">
      <c r="A23" s="57" t="s">
        <v>30</v>
      </c>
      <c r="B23" s="37">
        <v>7.16</v>
      </c>
      <c r="C23" s="37"/>
      <c r="D23" s="46" t="s">
        <v>160</v>
      </c>
    </row>
    <row r="24" spans="1:4" ht="15.6" x14ac:dyDescent="0.3">
      <c r="A24" s="18" t="s">
        <v>32</v>
      </c>
      <c r="B24" s="45">
        <f>360/12</f>
        <v>30</v>
      </c>
      <c r="C24" s="16"/>
      <c r="D24" s="17" t="s">
        <v>33</v>
      </c>
    </row>
    <row r="25" spans="1:4" ht="15.6" x14ac:dyDescent="0.3">
      <c r="A25" s="26" t="s">
        <v>34</v>
      </c>
      <c r="B25" s="38">
        <v>0</v>
      </c>
      <c r="C25" s="16"/>
      <c r="D25" s="17" t="s">
        <v>161</v>
      </c>
    </row>
    <row r="26" spans="1:4" ht="15.6" x14ac:dyDescent="0.3">
      <c r="A26" s="26" t="s">
        <v>36</v>
      </c>
      <c r="B26" s="38">
        <f>900*2.24%/12</f>
        <v>1.6800000000000004</v>
      </c>
      <c r="C26" s="16"/>
      <c r="D26" s="17" t="s">
        <v>162</v>
      </c>
    </row>
    <row r="27" spans="1:4" ht="15.6" x14ac:dyDescent="0.3">
      <c r="A27" s="58" t="s">
        <v>23</v>
      </c>
      <c r="B27" s="28">
        <f>SUM(B20:B26)</f>
        <v>2240.2499999999995</v>
      </c>
      <c r="C27" s="28">
        <f>SUM(C20:C26)</f>
        <v>0</v>
      </c>
      <c r="D27" s="13"/>
    </row>
    <row r="28" spans="1:4" ht="15.6" x14ac:dyDescent="0.3">
      <c r="A28" s="59"/>
      <c r="B28" s="60"/>
      <c r="C28" s="60"/>
      <c r="D28" s="30"/>
    </row>
    <row r="29" spans="1:4" ht="15.6" x14ac:dyDescent="0.3">
      <c r="A29" s="61" t="s">
        <v>38</v>
      </c>
      <c r="B29" s="16" t="s">
        <v>9</v>
      </c>
      <c r="C29" s="16"/>
      <c r="D29" s="17" t="s">
        <v>10</v>
      </c>
    </row>
    <row r="30" spans="1:4" ht="15.6" x14ac:dyDescent="0.3">
      <c r="A30" s="18" t="s">
        <v>39</v>
      </c>
      <c r="B30" s="37">
        <f>8700*2.24%/12</f>
        <v>16.240000000000002</v>
      </c>
      <c r="C30" s="16"/>
      <c r="D30" s="17" t="s">
        <v>161</v>
      </c>
    </row>
    <row r="31" spans="1:4" ht="15.6" x14ac:dyDescent="0.3">
      <c r="A31" s="18" t="s">
        <v>40</v>
      </c>
      <c r="B31" s="45">
        <f>1638*2.24%/12</f>
        <v>3.0576000000000003</v>
      </c>
      <c r="C31" s="16"/>
      <c r="D31" s="17" t="s">
        <v>161</v>
      </c>
    </row>
    <row r="32" spans="1:4" ht="15.6" x14ac:dyDescent="0.3">
      <c r="A32" s="18" t="s">
        <v>41</v>
      </c>
      <c r="B32" s="45">
        <f>7450*2.24%/12</f>
        <v>13.906666666666668</v>
      </c>
      <c r="C32" s="16"/>
      <c r="D32" s="17" t="s">
        <v>161</v>
      </c>
    </row>
    <row r="33" spans="1:4" ht="15.6" x14ac:dyDescent="0.3">
      <c r="A33" s="18" t="s">
        <v>42</v>
      </c>
      <c r="B33" s="45">
        <f>1700*2.24%/12</f>
        <v>3.1733333333333338</v>
      </c>
      <c r="C33" s="16"/>
      <c r="D33" s="17" t="s">
        <v>161</v>
      </c>
    </row>
    <row r="34" spans="1:4" ht="15.6" x14ac:dyDescent="0.3">
      <c r="A34" s="18" t="s">
        <v>43</v>
      </c>
      <c r="B34" s="37">
        <f>1200*2.24%/12</f>
        <v>2.2400000000000002</v>
      </c>
      <c r="C34" s="16"/>
      <c r="D34" s="17" t="s">
        <v>161</v>
      </c>
    </row>
    <row r="35" spans="1:4" ht="15.6" x14ac:dyDescent="0.3">
      <c r="A35" s="18" t="s">
        <v>44</v>
      </c>
      <c r="B35" s="45">
        <f>680*10%</f>
        <v>68</v>
      </c>
      <c r="C35" s="16"/>
      <c r="D35" s="17" t="s">
        <v>163</v>
      </c>
    </row>
    <row r="36" spans="1:4" ht="15.6" x14ac:dyDescent="0.3">
      <c r="A36" s="18" t="s">
        <v>26</v>
      </c>
      <c r="B36" s="37">
        <f>ROUND(B35*0.2359,2)</f>
        <v>16.04</v>
      </c>
      <c r="C36" s="16"/>
      <c r="D36" s="17" t="s">
        <v>27</v>
      </c>
    </row>
    <row r="37" spans="1:4" ht="15.6" x14ac:dyDescent="0.3">
      <c r="A37" s="18" t="s">
        <v>46</v>
      </c>
      <c r="B37" s="37">
        <f>ROUND((B35+B36)/21*1.67,2)</f>
        <v>6.68</v>
      </c>
      <c r="C37" s="16"/>
      <c r="D37" s="17" t="s">
        <v>29</v>
      </c>
    </row>
    <row r="38" spans="1:4" ht="15.6" x14ac:dyDescent="0.3">
      <c r="A38" s="57" t="s">
        <v>47</v>
      </c>
      <c r="B38" s="45">
        <f>1460.49*2.24%</f>
        <v>32.714976000000007</v>
      </c>
      <c r="C38" s="37"/>
      <c r="D38" s="17" t="s">
        <v>161</v>
      </c>
    </row>
    <row r="39" spans="1:4" ht="15.6" x14ac:dyDescent="0.3">
      <c r="A39" s="62" t="s">
        <v>48</v>
      </c>
      <c r="B39" s="40">
        <f>SUM(B30:B38)</f>
        <v>162.05257600000002</v>
      </c>
      <c r="C39" s="28">
        <v>0</v>
      </c>
      <c r="D39" s="30"/>
    </row>
    <row r="40" spans="1:4" ht="15.6" x14ac:dyDescent="0.3">
      <c r="A40" s="10"/>
      <c r="B40" s="10"/>
      <c r="C40" s="10"/>
      <c r="D40" s="10"/>
    </row>
    <row r="41" spans="1:4" ht="30.6" x14ac:dyDescent="0.3">
      <c r="A41" s="32" t="s">
        <v>49</v>
      </c>
      <c r="B41" s="44">
        <f>B27+B39</f>
        <v>2402.3025759999996</v>
      </c>
      <c r="C41" s="10"/>
      <c r="D41" s="10"/>
    </row>
    <row r="42" spans="1:4" ht="30.6" x14ac:dyDescent="0.3">
      <c r="A42" s="32" t="s">
        <v>50</v>
      </c>
      <c r="B42" s="44">
        <f>ROUND(B41/5184,2)</f>
        <v>0.46</v>
      </c>
      <c r="C42" s="10"/>
      <c r="D42" s="10"/>
    </row>
    <row r="43" spans="1:4" ht="15.6" x14ac:dyDescent="0.3">
      <c r="A43" s="32"/>
      <c r="B43" s="44"/>
      <c r="C43" s="10"/>
      <c r="D43" s="10"/>
    </row>
    <row r="44" spans="1:4" ht="15.6" x14ac:dyDescent="0.3">
      <c r="A44" s="30" t="s">
        <v>51</v>
      </c>
      <c r="B44" s="30"/>
      <c r="C44" s="30"/>
      <c r="D44" s="10"/>
    </row>
    <row r="45" spans="1:4" ht="15.6" x14ac:dyDescent="0.3">
      <c r="A45" s="30" t="s">
        <v>164</v>
      </c>
      <c r="B45" s="30"/>
      <c r="C45" s="30"/>
      <c r="D45" s="10"/>
    </row>
    <row r="46" spans="1:4" ht="15.6" x14ac:dyDescent="0.3">
      <c r="A46" s="30" t="s">
        <v>165</v>
      </c>
      <c r="B46" s="30"/>
      <c r="C46" s="30"/>
      <c r="D46" s="10"/>
    </row>
    <row r="47" spans="1:4" ht="15.6" x14ac:dyDescent="0.3">
      <c r="A47" s="10"/>
      <c r="B47" s="16" t="s">
        <v>9</v>
      </c>
      <c r="C47" s="10"/>
      <c r="D47" s="10"/>
    </row>
    <row r="48" spans="1:4" ht="27" x14ac:dyDescent="0.3">
      <c r="A48" s="33" t="s">
        <v>74</v>
      </c>
      <c r="B48" s="41">
        <f>B42+0.37</f>
        <v>0.83000000000000007</v>
      </c>
      <c r="D48" s="13" t="s">
        <v>166</v>
      </c>
    </row>
    <row r="49" spans="1:4" ht="27" x14ac:dyDescent="0.3">
      <c r="A49" s="33" t="s">
        <v>76</v>
      </c>
      <c r="B49" s="41">
        <f>B42+0.88</f>
        <v>1.34</v>
      </c>
      <c r="D49" s="13" t="s">
        <v>167</v>
      </c>
    </row>
    <row r="50" spans="1:4" ht="27" x14ac:dyDescent="0.3">
      <c r="A50" s="33" t="s">
        <v>78</v>
      </c>
      <c r="B50" s="41">
        <f>B42+0.38</f>
        <v>0.84000000000000008</v>
      </c>
      <c r="D50" s="13" t="s">
        <v>168</v>
      </c>
    </row>
    <row r="51" spans="1:4" ht="27" x14ac:dyDescent="0.3">
      <c r="A51" s="33" t="s">
        <v>131</v>
      </c>
      <c r="B51" s="41">
        <f>B42+0.88</f>
        <v>1.34</v>
      </c>
      <c r="D51" s="13" t="s">
        <v>167</v>
      </c>
    </row>
    <row r="52" spans="1:4" ht="27" x14ac:dyDescent="0.3">
      <c r="A52" s="33" t="s">
        <v>82</v>
      </c>
      <c r="B52" s="41">
        <f>B42+0.88</f>
        <v>1.34</v>
      </c>
      <c r="D52" s="13" t="s">
        <v>167</v>
      </c>
    </row>
    <row r="53" spans="1:4" x14ac:dyDescent="0.3">
      <c r="A53" s="33"/>
      <c r="B53" s="68"/>
      <c r="D53" s="13"/>
    </row>
    <row r="54" spans="1:4" x14ac:dyDescent="0.3">
      <c r="A54" s="66"/>
      <c r="B54" s="66"/>
      <c r="C54" s="66"/>
      <c r="D54" s="66"/>
    </row>
    <row r="55" spans="1:4" ht="15.6" x14ac:dyDescent="0.3">
      <c r="A55" s="14" t="s">
        <v>60</v>
      </c>
      <c r="B55" s="10"/>
      <c r="C55" s="10"/>
      <c r="D55" s="10"/>
    </row>
    <row r="56" spans="1:4" x14ac:dyDescent="0.3">
      <c r="A56" s="35">
        <v>63459143</v>
      </c>
    </row>
    <row r="57" spans="1:4" x14ac:dyDescent="0.3">
      <c r="A57" s="36" t="s">
        <v>61</v>
      </c>
    </row>
  </sheetData>
  <hyperlinks>
    <hyperlink ref="A57" r:id="rId1" xr:uid="{00000000-0004-0000-0600-000000000000}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9"/>
  <sheetViews>
    <sheetView topLeftCell="A43" workbookViewId="0">
      <selection activeCell="I51" sqref="I51"/>
    </sheetView>
  </sheetViews>
  <sheetFormatPr defaultRowHeight="14.4" x14ac:dyDescent="0.3"/>
  <cols>
    <col min="1" max="1" width="47" style="14" customWidth="1"/>
    <col min="2" max="2" width="11.44140625" style="14" customWidth="1"/>
    <col min="3" max="3" width="9.109375" style="14" customWidth="1"/>
    <col min="4" max="4" width="53" style="14" customWidth="1"/>
  </cols>
  <sheetData>
    <row r="1" spans="1:4" ht="15.6" x14ac:dyDescent="0.3">
      <c r="A1" s="10"/>
      <c r="B1" s="10"/>
      <c r="C1" s="10"/>
      <c r="D1" s="11" t="s">
        <v>190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171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172</v>
      </c>
      <c r="B7" s="14">
        <v>7494</v>
      </c>
      <c r="C7" s="10"/>
      <c r="D7" s="10"/>
    </row>
    <row r="8" spans="1:4" ht="15.6" x14ac:dyDescent="0.3">
      <c r="A8" s="10" t="s">
        <v>8</v>
      </c>
      <c r="B8" s="10"/>
      <c r="C8" s="10"/>
      <c r="D8" s="10"/>
    </row>
    <row r="9" spans="1:4" ht="15.6" x14ac:dyDescent="0.3">
      <c r="A9" s="10"/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54">
        <f>0.77*1640</f>
        <v>1262.8</v>
      </c>
      <c r="C11" s="19"/>
      <c r="D11" s="17" t="s">
        <v>173</v>
      </c>
    </row>
    <row r="12" spans="1:4" x14ac:dyDescent="0.3">
      <c r="A12" s="18" t="s">
        <v>64</v>
      </c>
      <c r="B12" s="47">
        <f>0.77*2219</f>
        <v>1708.63</v>
      </c>
      <c r="C12" s="19"/>
      <c r="D12" s="17" t="s">
        <v>174</v>
      </c>
    </row>
    <row r="13" spans="1:4" x14ac:dyDescent="0.3">
      <c r="A13" s="18" t="s">
        <v>17</v>
      </c>
      <c r="B13" s="47">
        <f>0.9*353</f>
        <v>317.7</v>
      </c>
      <c r="C13" s="19"/>
      <c r="D13" s="17" t="s">
        <v>175</v>
      </c>
    </row>
    <row r="14" spans="1:4" x14ac:dyDescent="0.3">
      <c r="A14" s="18" t="s">
        <v>19</v>
      </c>
      <c r="B14" s="47"/>
      <c r="C14" s="19">
        <f>0.46*938</f>
        <v>431.48</v>
      </c>
      <c r="D14" s="17" t="s">
        <v>176</v>
      </c>
    </row>
    <row r="15" spans="1:4" x14ac:dyDescent="0.3">
      <c r="A15" s="18" t="s">
        <v>21</v>
      </c>
      <c r="B15" s="47"/>
      <c r="C15" s="19">
        <f>0.76*2033</f>
        <v>1545.08</v>
      </c>
      <c r="D15" s="17" t="s">
        <v>177</v>
      </c>
    </row>
    <row r="16" spans="1:4" x14ac:dyDescent="0.3">
      <c r="A16" s="18" t="s">
        <v>66</v>
      </c>
      <c r="B16" s="47"/>
      <c r="C16" s="19">
        <f>0.24*1603</f>
        <v>384.71999999999997</v>
      </c>
      <c r="D16" s="17" t="s">
        <v>178</v>
      </c>
    </row>
    <row r="17" spans="1:4" x14ac:dyDescent="0.3">
      <c r="A17" s="55" t="s">
        <v>23</v>
      </c>
      <c r="B17" s="41">
        <f>B11+B12+B13</f>
        <v>3289.13</v>
      </c>
      <c r="C17" s="41">
        <f>SUM(C14:C16)</f>
        <v>2361.2799999999997</v>
      </c>
      <c r="D17" s="56"/>
    </row>
    <row r="18" spans="1:4" x14ac:dyDescent="0.3">
      <c r="A18" s="55"/>
      <c r="B18" s="55"/>
      <c r="C18" s="55"/>
      <c r="D18" s="56"/>
    </row>
    <row r="19" spans="1:4" ht="15.6" x14ac:dyDescent="0.3">
      <c r="A19" s="18" t="s">
        <v>24</v>
      </c>
      <c r="B19" s="45">
        <v>2539</v>
      </c>
      <c r="C19" s="16"/>
      <c r="D19" s="22" t="s">
        <v>179</v>
      </c>
    </row>
    <row r="20" spans="1:4" ht="15.6" x14ac:dyDescent="0.3">
      <c r="A20" s="18" t="s">
        <v>26</v>
      </c>
      <c r="B20" s="37">
        <f>ROUND(B19*0.2359,2)</f>
        <v>598.95000000000005</v>
      </c>
      <c r="C20" s="16"/>
      <c r="D20" s="17" t="s">
        <v>27</v>
      </c>
    </row>
    <row r="21" spans="1:4" ht="15.6" x14ac:dyDescent="0.3">
      <c r="A21" s="18" t="s">
        <v>28</v>
      </c>
      <c r="B21" s="37">
        <f>ROUND((B19+B20)/21*1.67,2)</f>
        <v>249.54</v>
      </c>
      <c r="C21" s="16"/>
      <c r="D21" s="17" t="s">
        <v>29</v>
      </c>
    </row>
    <row r="22" spans="1:4" ht="15.6" x14ac:dyDescent="0.3">
      <c r="A22" s="57" t="s">
        <v>30</v>
      </c>
      <c r="B22" s="37">
        <v>132.83000000000001</v>
      </c>
      <c r="C22" s="37"/>
      <c r="D22" s="46" t="s">
        <v>101</v>
      </c>
    </row>
    <row r="23" spans="1:4" ht="15.6" x14ac:dyDescent="0.3">
      <c r="A23" s="18" t="s">
        <v>32</v>
      </c>
      <c r="B23" s="45">
        <f>1200/12</f>
        <v>100</v>
      </c>
      <c r="C23" s="16"/>
      <c r="D23" s="17" t="s">
        <v>33</v>
      </c>
    </row>
    <row r="24" spans="1:4" ht="15.6" x14ac:dyDescent="0.3">
      <c r="A24" s="26" t="s">
        <v>34</v>
      </c>
      <c r="B24" s="38">
        <v>0</v>
      </c>
      <c r="C24" s="16"/>
      <c r="D24" s="17" t="s">
        <v>180</v>
      </c>
    </row>
    <row r="25" spans="1:4" ht="15.6" x14ac:dyDescent="0.3">
      <c r="A25" s="26" t="s">
        <v>36</v>
      </c>
      <c r="B25" s="51">
        <f>600*5.47%/12</f>
        <v>2.7349999999999999</v>
      </c>
      <c r="C25" s="16"/>
      <c r="D25" s="17" t="s">
        <v>181</v>
      </c>
    </row>
    <row r="26" spans="1:4" ht="15.6" x14ac:dyDescent="0.3">
      <c r="A26" s="58" t="s">
        <v>23</v>
      </c>
      <c r="B26" s="40">
        <f>SUM(B19:B25)</f>
        <v>3623.0549999999998</v>
      </c>
      <c r="C26" s="28">
        <f>SUM(C19:C25)</f>
        <v>0</v>
      </c>
      <c r="D26" s="13"/>
    </row>
    <row r="27" spans="1:4" ht="15.6" x14ac:dyDescent="0.3">
      <c r="A27" s="59"/>
      <c r="B27" s="60"/>
      <c r="C27" s="60"/>
      <c r="D27" s="30"/>
    </row>
    <row r="28" spans="1:4" ht="15.6" x14ac:dyDescent="0.3">
      <c r="A28" s="67" t="s">
        <v>38</v>
      </c>
      <c r="B28" s="67"/>
      <c r="C28" s="10"/>
      <c r="D28" s="30"/>
    </row>
    <row r="29" spans="1:4" ht="15.6" x14ac:dyDescent="0.3">
      <c r="A29" s="67"/>
      <c r="B29" s="16" t="s">
        <v>9</v>
      </c>
      <c r="C29" s="16"/>
      <c r="D29" s="17" t="s">
        <v>10</v>
      </c>
    </row>
    <row r="30" spans="1:4" ht="15.6" x14ac:dyDescent="0.3">
      <c r="A30" s="18" t="s">
        <v>70</v>
      </c>
      <c r="B30" s="45">
        <f>32610*5.47%/12</f>
        <v>148.64725000000001</v>
      </c>
      <c r="C30" s="16"/>
      <c r="D30" s="17" t="s">
        <v>180</v>
      </c>
    </row>
    <row r="31" spans="1:4" ht="15.6" x14ac:dyDescent="0.3">
      <c r="A31" s="18" t="s">
        <v>40</v>
      </c>
      <c r="B31" s="45">
        <f>5820*5.47%/12</f>
        <v>26.529499999999999</v>
      </c>
      <c r="C31" s="16"/>
      <c r="D31" s="17" t="s">
        <v>180</v>
      </c>
    </row>
    <row r="32" spans="1:4" ht="15.6" x14ac:dyDescent="0.3">
      <c r="A32" s="18" t="s">
        <v>41</v>
      </c>
      <c r="B32" s="45">
        <f>23760*5.47%/12</f>
        <v>108.306</v>
      </c>
      <c r="C32" s="16"/>
      <c r="D32" s="17" t="s">
        <v>180</v>
      </c>
    </row>
    <row r="33" spans="1:4" ht="15.6" x14ac:dyDescent="0.3">
      <c r="A33" s="18" t="s">
        <v>42</v>
      </c>
      <c r="B33" s="45">
        <f>2800*5.47%/12</f>
        <v>12.763333333333334</v>
      </c>
      <c r="C33" s="16"/>
      <c r="D33" s="17" t="s">
        <v>180</v>
      </c>
    </row>
    <row r="34" spans="1:4" ht="15.6" x14ac:dyDescent="0.3">
      <c r="A34" s="18" t="s">
        <v>43</v>
      </c>
      <c r="B34" s="45">
        <f>1690*5.47%/12</f>
        <v>7.7035833333333334</v>
      </c>
      <c r="C34" s="16"/>
      <c r="D34" s="17" t="s">
        <v>180</v>
      </c>
    </row>
    <row r="35" spans="1:4" ht="15.6" x14ac:dyDescent="0.3">
      <c r="A35" s="18" t="s">
        <v>44</v>
      </c>
      <c r="B35" s="45">
        <f>1032*10%</f>
        <v>103.2</v>
      </c>
      <c r="C35" s="16"/>
      <c r="D35" s="17" t="s">
        <v>104</v>
      </c>
    </row>
    <row r="36" spans="1:4" ht="15.6" x14ac:dyDescent="0.3">
      <c r="A36" s="18" t="s">
        <v>26</v>
      </c>
      <c r="B36" s="37">
        <f>ROUND(B35*0.2359,2)</f>
        <v>24.34</v>
      </c>
      <c r="C36" s="16"/>
      <c r="D36" s="17" t="s">
        <v>27</v>
      </c>
    </row>
    <row r="37" spans="1:4" ht="15.6" x14ac:dyDescent="0.3">
      <c r="A37" s="18" t="s">
        <v>46</v>
      </c>
      <c r="B37" s="37">
        <f>ROUND((B35+B36)/21*1.67,2)</f>
        <v>10.14</v>
      </c>
      <c r="C37" s="16"/>
      <c r="D37" s="17" t="s">
        <v>29</v>
      </c>
    </row>
    <row r="38" spans="1:4" ht="15.6" x14ac:dyDescent="0.3">
      <c r="A38" s="57" t="s">
        <v>47</v>
      </c>
      <c r="B38" s="45">
        <f>1212.42*5.47%</f>
        <v>66.319373999999996</v>
      </c>
      <c r="C38" s="37"/>
      <c r="D38" s="17" t="s">
        <v>180</v>
      </c>
    </row>
    <row r="39" spans="1:4" ht="15.6" x14ac:dyDescent="0.3">
      <c r="A39" s="62" t="s">
        <v>48</v>
      </c>
      <c r="B39" s="40">
        <f>SUM(B30:B38)</f>
        <v>507.94904066666658</v>
      </c>
      <c r="C39" s="28">
        <v>0</v>
      </c>
      <c r="D39" s="30"/>
    </row>
    <row r="40" spans="1:4" ht="15.6" x14ac:dyDescent="0.3">
      <c r="A40" s="10"/>
      <c r="B40" s="10"/>
      <c r="C40" s="10"/>
      <c r="D40" s="10"/>
    </row>
    <row r="41" spans="1:4" ht="30.6" x14ac:dyDescent="0.3">
      <c r="A41" s="32" t="s">
        <v>49</v>
      </c>
      <c r="B41" s="44">
        <v>4131.01</v>
      </c>
      <c r="C41" s="10"/>
      <c r="D41" s="10"/>
    </row>
    <row r="42" spans="1:4" ht="30.6" x14ac:dyDescent="0.3">
      <c r="A42" s="32" t="s">
        <v>50</v>
      </c>
      <c r="B42" s="44">
        <f>ROUND(B41/B7,2)</f>
        <v>0.55000000000000004</v>
      </c>
      <c r="C42" s="10"/>
      <c r="D42" s="10"/>
    </row>
    <row r="43" spans="1:4" ht="15.6" x14ac:dyDescent="0.3">
      <c r="A43" s="32"/>
      <c r="B43" s="44"/>
      <c r="C43" s="10"/>
      <c r="D43" s="10"/>
    </row>
    <row r="44" spans="1:4" ht="15.6" x14ac:dyDescent="0.3">
      <c r="A44" s="30" t="s">
        <v>51</v>
      </c>
      <c r="B44" s="30"/>
      <c r="C44" s="30"/>
      <c r="D44" s="10"/>
    </row>
    <row r="45" spans="1:4" ht="15.6" x14ac:dyDescent="0.3">
      <c r="A45" s="30" t="s">
        <v>182</v>
      </c>
      <c r="B45" s="30"/>
      <c r="C45" s="30"/>
      <c r="D45" s="10"/>
    </row>
    <row r="46" spans="1:4" ht="15.6" x14ac:dyDescent="0.3">
      <c r="A46" s="30" t="s">
        <v>183</v>
      </c>
      <c r="B46" s="30"/>
      <c r="C46" s="30"/>
      <c r="D46" s="10"/>
    </row>
    <row r="47" spans="1:4" ht="15.6" x14ac:dyDescent="0.3">
      <c r="A47" s="30"/>
      <c r="B47" s="30"/>
      <c r="C47" s="30"/>
      <c r="D47" s="10"/>
    </row>
    <row r="48" spans="1:4" ht="15.6" x14ac:dyDescent="0.3">
      <c r="A48" s="10"/>
      <c r="B48" s="16" t="s">
        <v>9</v>
      </c>
      <c r="C48" s="10"/>
      <c r="D48" s="10"/>
    </row>
    <row r="49" spans="1:4" ht="27" x14ac:dyDescent="0.3">
      <c r="A49" s="33" t="s">
        <v>74</v>
      </c>
      <c r="B49" s="41">
        <f>B$42+0.28</f>
        <v>0.83000000000000007</v>
      </c>
      <c r="D49" s="13" t="s">
        <v>184</v>
      </c>
    </row>
    <row r="50" spans="1:4" ht="27" x14ac:dyDescent="0.3">
      <c r="A50" s="33" t="s">
        <v>76</v>
      </c>
      <c r="B50" s="41">
        <f>B42+0.76</f>
        <v>1.31</v>
      </c>
      <c r="D50" s="13" t="s">
        <v>110</v>
      </c>
    </row>
    <row r="51" spans="1:4" ht="27" x14ac:dyDescent="0.3">
      <c r="A51" s="33" t="s">
        <v>78</v>
      </c>
      <c r="B51" s="41">
        <f>B42+0.24</f>
        <v>0.79</v>
      </c>
      <c r="D51" s="13" t="s">
        <v>185</v>
      </c>
    </row>
    <row r="52" spans="1:4" ht="27" x14ac:dyDescent="0.3">
      <c r="A52" s="33" t="s">
        <v>186</v>
      </c>
      <c r="B52" s="41">
        <f>B42+0.77</f>
        <v>1.32</v>
      </c>
      <c r="D52" s="13" t="s">
        <v>187</v>
      </c>
    </row>
    <row r="53" spans="1:4" ht="27" x14ac:dyDescent="0.3">
      <c r="A53" s="33" t="s">
        <v>188</v>
      </c>
      <c r="B53" s="41">
        <f>B42+0.9</f>
        <v>1.4500000000000002</v>
      </c>
      <c r="D53" s="13" t="s">
        <v>189</v>
      </c>
    </row>
    <row r="54" spans="1:4" x14ac:dyDescent="0.3">
      <c r="A54" s="33"/>
      <c r="B54" s="68"/>
      <c r="D54" s="13"/>
    </row>
    <row r="55" spans="1:4" x14ac:dyDescent="0.3">
      <c r="A55" s="33"/>
      <c r="B55" s="68"/>
      <c r="D55" s="13"/>
    </row>
    <row r="56" spans="1:4" x14ac:dyDescent="0.3">
      <c r="A56" s="33"/>
      <c r="B56" s="68"/>
      <c r="D56" s="13"/>
    </row>
    <row r="57" spans="1:4" ht="15.6" x14ac:dyDescent="0.3">
      <c r="A57" s="14" t="s">
        <v>60</v>
      </c>
      <c r="B57" s="10"/>
      <c r="C57" s="10"/>
      <c r="D57" s="10"/>
    </row>
    <row r="58" spans="1:4" x14ac:dyDescent="0.3">
      <c r="A58" s="35">
        <v>63459143</v>
      </c>
    </row>
    <row r="59" spans="1:4" x14ac:dyDescent="0.3">
      <c r="A59" s="36" t="s">
        <v>61</v>
      </c>
    </row>
  </sheetData>
  <hyperlinks>
    <hyperlink ref="A59" r:id="rId1" xr:uid="{00000000-0004-0000-0700-000000000000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5"/>
  <sheetViews>
    <sheetView topLeftCell="A46" workbookViewId="0">
      <selection activeCell="A53" sqref="A53:XFD53"/>
    </sheetView>
  </sheetViews>
  <sheetFormatPr defaultRowHeight="14.4" x14ac:dyDescent="0.3"/>
  <cols>
    <col min="1" max="1" width="47.5546875" style="14" customWidth="1"/>
    <col min="2" max="2" width="11.44140625" style="14" customWidth="1"/>
    <col min="3" max="3" width="9.109375" style="14" customWidth="1"/>
    <col min="4" max="4" width="49.44140625" style="14" customWidth="1"/>
  </cols>
  <sheetData>
    <row r="1" spans="1:4" ht="15.6" x14ac:dyDescent="0.3">
      <c r="A1" s="10"/>
      <c r="B1" s="10"/>
      <c r="C1" s="10"/>
      <c r="D1" s="11" t="s">
        <v>209</v>
      </c>
    </row>
    <row r="2" spans="1:4" ht="15.6" x14ac:dyDescent="0.3">
      <c r="A2" s="10"/>
      <c r="B2" s="10"/>
      <c r="C2" s="10"/>
      <c r="D2" s="11"/>
    </row>
    <row r="3" spans="1:4" ht="15.6" x14ac:dyDescent="0.3">
      <c r="A3" s="10"/>
      <c r="B3" s="10"/>
      <c r="C3" s="10"/>
      <c r="D3" s="11"/>
    </row>
    <row r="4" spans="1:4" ht="15.6" x14ac:dyDescent="0.3">
      <c r="A4" s="10" t="s">
        <v>191</v>
      </c>
      <c r="B4" s="10"/>
      <c r="C4" s="10"/>
      <c r="D4" s="10"/>
    </row>
    <row r="5" spans="1:4" ht="15.6" x14ac:dyDescent="0.3">
      <c r="A5" s="12" t="s">
        <v>5</v>
      </c>
      <c r="B5" s="12"/>
      <c r="C5" s="10"/>
      <c r="D5" s="10"/>
    </row>
    <row r="6" spans="1:4" ht="15.6" x14ac:dyDescent="0.3">
      <c r="A6" s="13" t="s">
        <v>6</v>
      </c>
      <c r="B6" s="10"/>
      <c r="C6" s="10"/>
      <c r="D6" s="10"/>
    </row>
    <row r="7" spans="1:4" ht="15.6" x14ac:dyDescent="0.3">
      <c r="A7" s="13" t="s">
        <v>192</v>
      </c>
      <c r="B7" s="10"/>
      <c r="C7" s="10"/>
      <c r="D7" s="10"/>
    </row>
    <row r="8" spans="1:4" ht="15.6" x14ac:dyDescent="0.3">
      <c r="A8" s="10" t="s">
        <v>8</v>
      </c>
      <c r="B8" s="10"/>
      <c r="C8" s="10"/>
      <c r="D8" s="10"/>
    </row>
    <row r="9" spans="1:4" ht="15.6" x14ac:dyDescent="0.3">
      <c r="A9" s="10"/>
      <c r="B9" s="16" t="s">
        <v>9</v>
      </c>
      <c r="C9" s="16" t="s">
        <v>9</v>
      </c>
      <c r="D9" s="17" t="s">
        <v>10</v>
      </c>
    </row>
    <row r="10" spans="1:4" ht="15.6" x14ac:dyDescent="0.3">
      <c r="A10" s="10"/>
      <c r="B10" s="16" t="s">
        <v>11</v>
      </c>
      <c r="C10" s="16" t="s">
        <v>12</v>
      </c>
      <c r="D10" s="17"/>
    </row>
    <row r="11" spans="1:4" x14ac:dyDescent="0.3">
      <c r="A11" s="18" t="s">
        <v>13</v>
      </c>
      <c r="B11" s="54">
        <f>1.36*520</f>
        <v>707.2</v>
      </c>
      <c r="C11" s="19"/>
      <c r="D11" s="17" t="s">
        <v>193</v>
      </c>
    </row>
    <row r="12" spans="1:4" x14ac:dyDescent="0.3">
      <c r="A12" s="18" t="s">
        <v>15</v>
      </c>
      <c r="B12" s="47">
        <f>1.36*620</f>
        <v>843.2</v>
      </c>
      <c r="C12" s="19"/>
      <c r="D12" s="17" t="s">
        <v>194</v>
      </c>
    </row>
    <row r="13" spans="1:4" x14ac:dyDescent="0.3">
      <c r="A13" s="18" t="s">
        <v>17</v>
      </c>
      <c r="B13" s="47">
        <f>1.36*260</f>
        <v>353.6</v>
      </c>
      <c r="C13" s="19"/>
      <c r="D13" s="17" t="s">
        <v>195</v>
      </c>
    </row>
    <row r="14" spans="1:4" x14ac:dyDescent="0.3">
      <c r="A14" s="18" t="s">
        <v>196</v>
      </c>
      <c r="B14" s="47"/>
      <c r="C14" s="47">
        <f>1.36*1140</f>
        <v>1550.4</v>
      </c>
      <c r="D14" s="17" t="s">
        <v>197</v>
      </c>
    </row>
    <row r="15" spans="1:4" x14ac:dyDescent="0.3">
      <c r="A15" s="18" t="s">
        <v>198</v>
      </c>
      <c r="B15" s="47"/>
      <c r="C15" s="19">
        <f>0.58*912</f>
        <v>528.95999999999992</v>
      </c>
      <c r="D15" s="17" t="s">
        <v>199</v>
      </c>
    </row>
    <row r="16" spans="1:4" x14ac:dyDescent="0.3">
      <c r="A16" s="55" t="s">
        <v>23</v>
      </c>
      <c r="B16" s="41">
        <f>SUM(B12:B15:B11)</f>
        <v>1904</v>
      </c>
      <c r="C16" s="21">
        <f>SUM(C14:C15)</f>
        <v>2079.36</v>
      </c>
      <c r="D16" s="56"/>
    </row>
    <row r="17" spans="1:4" x14ac:dyDescent="0.3">
      <c r="A17" s="55"/>
      <c r="B17" s="55"/>
      <c r="C17" s="55"/>
      <c r="D17" s="56"/>
    </row>
    <row r="18" spans="1:4" ht="15.6" x14ac:dyDescent="0.3">
      <c r="A18" s="18" t="s">
        <v>24</v>
      </c>
      <c r="B18" s="45">
        <v>600</v>
      </c>
      <c r="C18" s="16"/>
      <c r="D18" s="22" t="s">
        <v>200</v>
      </c>
    </row>
    <row r="19" spans="1:4" ht="15.6" x14ac:dyDescent="0.3">
      <c r="A19" s="18" t="s">
        <v>26</v>
      </c>
      <c r="B19" s="37">
        <f>ROUND(B18*0.2359,2)</f>
        <v>141.54</v>
      </c>
      <c r="C19" s="16"/>
      <c r="D19" s="17" t="s">
        <v>27</v>
      </c>
    </row>
    <row r="20" spans="1:4" ht="15.6" x14ac:dyDescent="0.3">
      <c r="A20" s="18" t="s">
        <v>28</v>
      </c>
      <c r="B20" s="37">
        <f>ROUND((B18+B19)/21*1.67,2)</f>
        <v>58.97</v>
      </c>
      <c r="C20" s="16"/>
      <c r="D20" s="17" t="s">
        <v>29</v>
      </c>
    </row>
    <row r="21" spans="1:4" ht="15.6" x14ac:dyDescent="0.3">
      <c r="A21" s="57" t="s">
        <v>30</v>
      </c>
      <c r="B21" s="37">
        <v>63.96</v>
      </c>
      <c r="C21" s="37"/>
      <c r="D21" s="46" t="s">
        <v>201</v>
      </c>
    </row>
    <row r="22" spans="1:4" ht="15.6" x14ac:dyDescent="0.3">
      <c r="A22" s="18" t="s">
        <v>32</v>
      </c>
      <c r="B22" s="45">
        <f>200/12</f>
        <v>16.666666666666668</v>
      </c>
      <c r="C22" s="16"/>
      <c r="D22" s="17" t="s">
        <v>33</v>
      </c>
    </row>
    <row r="23" spans="1:4" ht="15.6" x14ac:dyDescent="0.3">
      <c r="A23" s="26" t="s">
        <v>34</v>
      </c>
      <c r="B23" s="38">
        <v>0</v>
      </c>
      <c r="C23" s="16"/>
      <c r="D23" s="17" t="s">
        <v>202</v>
      </c>
    </row>
    <row r="24" spans="1:4" ht="15.6" x14ac:dyDescent="0.3">
      <c r="A24" s="26" t="s">
        <v>36</v>
      </c>
      <c r="B24" s="51">
        <f>50*8.31%/12</f>
        <v>0.34625</v>
      </c>
      <c r="C24" s="16"/>
      <c r="D24" s="17" t="s">
        <v>203</v>
      </c>
    </row>
    <row r="25" spans="1:4" ht="15.6" x14ac:dyDescent="0.3">
      <c r="A25" s="58" t="s">
        <v>23</v>
      </c>
      <c r="B25" s="39">
        <f>SUM(B18:B24)</f>
        <v>881.48291666666671</v>
      </c>
      <c r="C25" s="28">
        <f>SUM(C18:C24)</f>
        <v>0</v>
      </c>
      <c r="D25" s="13"/>
    </row>
    <row r="26" spans="1:4" ht="15.6" x14ac:dyDescent="0.3">
      <c r="A26" s="59"/>
      <c r="B26" s="60"/>
      <c r="C26" s="60"/>
      <c r="D26" s="30"/>
    </row>
    <row r="27" spans="1:4" ht="15.6" x14ac:dyDescent="0.3">
      <c r="A27" s="67" t="s">
        <v>38</v>
      </c>
      <c r="B27" s="67"/>
      <c r="C27" s="10"/>
      <c r="D27" s="30"/>
    </row>
    <row r="28" spans="1:4" ht="15.6" x14ac:dyDescent="0.3">
      <c r="A28" s="67"/>
      <c r="B28" s="16" t="s">
        <v>9</v>
      </c>
      <c r="C28" s="16"/>
      <c r="D28" s="17" t="s">
        <v>10</v>
      </c>
    </row>
    <row r="29" spans="1:4" ht="15.6" x14ac:dyDescent="0.3">
      <c r="A29" s="18" t="s">
        <v>70</v>
      </c>
      <c r="B29" s="45">
        <f>12226*8.31%/12</f>
        <v>84.665050000000008</v>
      </c>
      <c r="C29" s="16"/>
      <c r="D29" s="17" t="s">
        <v>202</v>
      </c>
    </row>
    <row r="30" spans="1:4" ht="15.6" x14ac:dyDescent="0.3">
      <c r="A30" s="18" t="s">
        <v>40</v>
      </c>
      <c r="B30" s="45">
        <f>3045*8.31%/12</f>
        <v>21.086625000000002</v>
      </c>
      <c r="C30" s="16"/>
      <c r="D30" s="17" t="s">
        <v>202</v>
      </c>
    </row>
    <row r="31" spans="1:4" ht="15.6" x14ac:dyDescent="0.3">
      <c r="A31" s="18" t="s">
        <v>41</v>
      </c>
      <c r="B31" s="45">
        <f>10500*8.31%/12</f>
        <v>72.712500000000006</v>
      </c>
      <c r="C31" s="16"/>
      <c r="D31" s="17" t="s">
        <v>202</v>
      </c>
    </row>
    <row r="32" spans="1:4" ht="15.6" x14ac:dyDescent="0.3">
      <c r="A32" s="18" t="s">
        <v>42</v>
      </c>
      <c r="B32" s="45">
        <f>1012*8.31%/12</f>
        <v>7.0080999999999998</v>
      </c>
      <c r="C32" s="16"/>
      <c r="D32" s="17" t="s">
        <v>202</v>
      </c>
    </row>
    <row r="33" spans="1:4" ht="15.6" x14ac:dyDescent="0.3">
      <c r="A33" s="18" t="s">
        <v>43</v>
      </c>
      <c r="B33" s="45">
        <f>780*8.31%/12</f>
        <v>5.4015000000000013</v>
      </c>
      <c r="C33" s="16"/>
      <c r="D33" s="17" t="s">
        <v>202</v>
      </c>
    </row>
    <row r="34" spans="1:4" ht="15.6" x14ac:dyDescent="0.3">
      <c r="A34" s="18" t="s">
        <v>44</v>
      </c>
      <c r="B34" s="45">
        <f>718*10%</f>
        <v>71.8</v>
      </c>
      <c r="C34" s="16"/>
      <c r="D34" s="17" t="s">
        <v>204</v>
      </c>
    </row>
    <row r="35" spans="1:4" ht="15.6" x14ac:dyDescent="0.3">
      <c r="A35" s="18" t="s">
        <v>26</v>
      </c>
      <c r="B35" s="37">
        <f>ROUND(B34*0.2359,2)</f>
        <v>16.940000000000001</v>
      </c>
      <c r="C35" s="16"/>
      <c r="D35" s="17" t="s">
        <v>27</v>
      </c>
    </row>
    <row r="36" spans="1:4" ht="15.6" x14ac:dyDescent="0.3">
      <c r="A36" s="18" t="s">
        <v>46</v>
      </c>
      <c r="B36" s="37">
        <f>ROUND((B34+B35)/21*1.67,2)</f>
        <v>7.06</v>
      </c>
      <c r="C36" s="16"/>
      <c r="D36" s="17" t="s">
        <v>29</v>
      </c>
    </row>
    <row r="37" spans="1:4" ht="15.6" x14ac:dyDescent="0.3">
      <c r="A37" s="57" t="s">
        <v>47</v>
      </c>
      <c r="B37" s="45">
        <f>513.84*8.31%</f>
        <v>42.700104000000003</v>
      </c>
      <c r="C37" s="37"/>
      <c r="D37" s="17" t="s">
        <v>202</v>
      </c>
    </row>
    <row r="38" spans="1:4" ht="15.6" x14ac:dyDescent="0.3">
      <c r="A38" s="62" t="s">
        <v>48</v>
      </c>
      <c r="B38" s="39">
        <f>SUM(B29:B37)</f>
        <v>329.37387900000004</v>
      </c>
      <c r="C38" s="28">
        <v>0</v>
      </c>
      <c r="D38" s="30"/>
    </row>
    <row r="39" spans="1:4" ht="15.6" x14ac:dyDescent="0.3">
      <c r="A39" s="10"/>
      <c r="B39" s="10"/>
      <c r="C39" s="10"/>
      <c r="D39" s="10"/>
    </row>
    <row r="40" spans="1:4" ht="30.6" x14ac:dyDescent="0.3">
      <c r="A40" s="32" t="s">
        <v>49</v>
      </c>
      <c r="B40" s="44">
        <f>ROUND(B25+B38,2)</f>
        <v>1210.8599999999999</v>
      </c>
      <c r="C40" s="10"/>
      <c r="D40" s="10"/>
    </row>
    <row r="41" spans="1:4" ht="30.6" x14ac:dyDescent="0.3">
      <c r="A41" s="32" t="s">
        <v>50</v>
      </c>
      <c r="B41" s="44">
        <f>ROUND(B40/3452,2)</f>
        <v>0.35</v>
      </c>
      <c r="C41" s="10"/>
      <c r="D41" s="10"/>
    </row>
    <row r="42" spans="1:4" ht="15.6" x14ac:dyDescent="0.3">
      <c r="A42" s="32"/>
      <c r="B42" s="44"/>
      <c r="C42" s="10"/>
      <c r="D42" s="10"/>
    </row>
    <row r="43" spans="1:4" ht="15.6" x14ac:dyDescent="0.3">
      <c r="A43" s="30" t="s">
        <v>51</v>
      </c>
      <c r="B43" s="30"/>
      <c r="C43" s="30"/>
      <c r="D43" s="10"/>
    </row>
    <row r="44" spans="1:4" ht="15.6" x14ac:dyDescent="0.3">
      <c r="A44" s="30" t="s">
        <v>205</v>
      </c>
      <c r="B44" s="30"/>
      <c r="C44" s="30"/>
      <c r="D44" s="10"/>
    </row>
    <row r="45" spans="1:4" ht="15.6" x14ac:dyDescent="0.3">
      <c r="A45" s="30" t="s">
        <v>206</v>
      </c>
      <c r="B45" s="30"/>
      <c r="C45" s="30"/>
      <c r="D45" s="10"/>
    </row>
    <row r="46" spans="1:4" ht="15.6" x14ac:dyDescent="0.3">
      <c r="A46" s="30"/>
      <c r="B46" s="30"/>
      <c r="C46" s="30"/>
      <c r="D46" s="10"/>
    </row>
    <row r="47" spans="1:4" ht="15.6" x14ac:dyDescent="0.3">
      <c r="A47" s="10"/>
      <c r="B47" s="16" t="s">
        <v>9</v>
      </c>
      <c r="C47" s="10"/>
      <c r="D47" s="10"/>
    </row>
    <row r="48" spans="1:4" ht="27" x14ac:dyDescent="0.3">
      <c r="A48" s="33" t="s">
        <v>210</v>
      </c>
      <c r="B48" s="41">
        <f>B41+1.36</f>
        <v>1.71</v>
      </c>
      <c r="D48" s="13" t="s">
        <v>207</v>
      </c>
    </row>
    <row r="49" spans="1:4" ht="27" x14ac:dyDescent="0.3">
      <c r="A49" s="33" t="s">
        <v>211</v>
      </c>
      <c r="B49" s="41">
        <f>B41+0.58</f>
        <v>0.92999999999999994</v>
      </c>
      <c r="D49" s="13" t="s">
        <v>208</v>
      </c>
    </row>
    <row r="50" spans="1:4" ht="27" x14ac:dyDescent="0.3">
      <c r="A50" s="33" t="s">
        <v>131</v>
      </c>
      <c r="B50" s="41">
        <f>B41+1.36</f>
        <v>1.71</v>
      </c>
      <c r="D50" s="13" t="s">
        <v>207</v>
      </c>
    </row>
    <row r="51" spans="1:4" x14ac:dyDescent="0.3">
      <c r="A51" s="66"/>
      <c r="B51" s="66"/>
      <c r="C51" s="66"/>
      <c r="D51" s="66"/>
    </row>
    <row r="52" spans="1:4" x14ac:dyDescent="0.3">
      <c r="A52" s="66"/>
      <c r="B52" s="66"/>
      <c r="C52" s="66"/>
      <c r="D52" s="66"/>
    </row>
    <row r="53" spans="1:4" ht="15.6" x14ac:dyDescent="0.3">
      <c r="A53" s="14" t="s">
        <v>60</v>
      </c>
      <c r="B53" s="10"/>
      <c r="C53" s="10"/>
      <c r="D53" s="10"/>
    </row>
    <row r="54" spans="1:4" x14ac:dyDescent="0.3">
      <c r="A54" s="35">
        <v>63459143</v>
      </c>
    </row>
    <row r="55" spans="1:4" x14ac:dyDescent="0.3">
      <c r="A55" s="36" t="s">
        <v>61</v>
      </c>
    </row>
  </sheetData>
  <hyperlinks>
    <hyperlink ref="A55" r:id="rId1" xr:uid="{00000000-0004-0000-08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Izmaksas</vt:lpstr>
      <vt:lpstr>Aizputes pag.psk</vt:lpstr>
      <vt:lpstr>Aizputes vsk</vt:lpstr>
      <vt:lpstr>Durbes psk</vt:lpstr>
      <vt:lpstr>Kalvenes psk</vt:lpstr>
      <vt:lpstr>Krotes psk</vt:lpstr>
      <vt:lpstr>Kazdangas psk</vt:lpstr>
      <vt:lpstr>Nīcas vsk</vt:lpstr>
      <vt:lpstr>Rucavas psk</vt:lpstr>
      <vt:lpstr>Vaiņodes vsk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Everita</dc:creator>
  <cp:keywords/>
  <dc:description/>
  <cp:lastModifiedBy>user</cp:lastModifiedBy>
  <cp:lastPrinted>2022-07-20T13:02:08Z</cp:lastPrinted>
  <dcterms:created xsi:type="dcterms:W3CDTF">2022-07-20T09:09:41Z</dcterms:created>
  <dcterms:modified xsi:type="dcterms:W3CDTF">2022-08-04T09:22:48Z</dcterms:modified>
  <cp:category/>
</cp:coreProperties>
</file>